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https://umeauniversity-my.sharepoint.com/personal/evah0001_ad_umu_se/Documents/VAL/RTV/2020/"/>
    </mc:Choice>
  </mc:AlternateContent>
  <bookViews>
    <workbookView xWindow="0" yWindow="0" windowWidth="28800" windowHeight="12435" tabRatio="935" activeTab="2"/>
  </bookViews>
  <sheets>
    <sheet name="INFO RTV-VAL 2020" sheetId="90" r:id="rId1"/>
    <sheet name="Kom ihåg" sheetId="172" r:id="rId2"/>
    <sheet name="Start" sheetId="3" r:id="rId3"/>
    <sheet name="Totalt per inst" sheetId="95" r:id="rId4"/>
    <sheet name="Bokforder jan+feb" sheetId="184" r:id="rId5"/>
    <sheet name="Bokforder mars--" sheetId="180" r:id="rId6"/>
    <sheet name="Bokforder sept--" sheetId="185" r:id="rId7"/>
    <sheet name="Utfördelat tom aug" sheetId="183" r:id="rId8"/>
    <sheet name="Medv" sheetId="73" r:id="rId9"/>
    <sheet name="Kursansv till medv" sheetId="74" r:id="rId10"/>
    <sheet name="kurser alla" sheetId="156" r:id="rId11"/>
    <sheet name="Prislapp" sheetId="51" r:id="rId12"/>
    <sheet name="kurspris" sheetId="55" r:id="rId13"/>
    <sheet name="Orgenheter" sheetId="26" r:id="rId14"/>
    <sheet name="Program" sheetId="53" r:id="rId15"/>
    <sheet name="Ansvar kurs" sheetId="78" r:id="rId16"/>
    <sheet name="Totalt pivot" sheetId="83" r:id="rId17"/>
    <sheet name="Pivot Kursmedv %" sheetId="131" r:id="rId18"/>
    <sheet name="underlag medverkande 2" sheetId="70" r:id="rId19"/>
  </sheets>
  <definedNames>
    <definedName name="_xlnm._FilterDatabase" localSheetId="15" hidden="1">'Ansvar kurs'!$A$1:$C$254</definedName>
    <definedName name="_xlnm._FilterDatabase" localSheetId="4" hidden="1">'Bokforder jan+feb'!$A$4:$N$4</definedName>
    <definedName name="_xlnm._FilterDatabase" localSheetId="5" hidden="1">'Bokforder mars--'!$A$4:$N$4</definedName>
    <definedName name="_xlnm._FilterDatabase" localSheetId="6" hidden="1">'Bokforder sept--'!$A$4:$N$4</definedName>
    <definedName name="_xlnm._FilterDatabase" localSheetId="10" hidden="1">'kurser alla'!$A$1:$BL$141</definedName>
    <definedName name="_xlnm._FilterDatabase" localSheetId="12" hidden="1">kurspris!$A$1:$T$219</definedName>
    <definedName name="_xlnm._FilterDatabase" localSheetId="2" hidden="1">Start!#REF!</definedName>
    <definedName name="_xlnm._FilterDatabase" localSheetId="18" hidden="1">'underlag medverkande 2'!$A$1:$T$17</definedName>
    <definedName name="_xlnm.Print_Area" localSheetId="15">'Ansvar kurs'!$A$1:$C$194</definedName>
    <definedName name="_xlnm.Print_Area" localSheetId="4">'Bokforder jan+feb'!$A$1:$N$57</definedName>
    <definedName name="_xlnm.Print_Area" localSheetId="5">'Bokforder mars--'!$A$1:$N$57</definedName>
    <definedName name="_xlnm.Print_Area" localSheetId="6">'Bokforder sept--'!$A$1:$N$57</definedName>
    <definedName name="_xlnm.Print_Area" localSheetId="10">'kurser alla'!$A$1:$AN$138</definedName>
    <definedName name="_xlnm.Print_Area" localSheetId="12">kurspris!$A$1:$N$219</definedName>
    <definedName name="_xlnm.Print_Area" localSheetId="2">Start!$B$1:$E$25</definedName>
    <definedName name="_xlnm.Print_Area" localSheetId="3">'Totalt per inst'!$A$2:$S$50</definedName>
    <definedName name="_xlnm.Print_Area" localSheetId="18">'underlag medverkande 2'!$A$1:$I$17</definedName>
    <definedName name="_xlnm.Print_Titles" localSheetId="15">'Ansvar kurs'!$1:$1</definedName>
    <definedName name="_xlnm.Print_Titles" localSheetId="4">'Bokforder jan+feb'!$4:$4</definedName>
    <definedName name="_xlnm.Print_Titles" localSheetId="5">'Bokforder mars--'!$4:$4</definedName>
    <definedName name="_xlnm.Print_Titles" localSheetId="6">'Bokforder sept--'!$4:$4</definedName>
    <definedName name="_xlnm.Print_Titles" localSheetId="9">'Kursansv till medv'!$4:$4</definedName>
    <definedName name="_xlnm.Print_Titles" localSheetId="12">kurspris!$1:$1</definedName>
    <definedName name="_xlnm.Print_Titles" localSheetId="8">Medv!$3:$3</definedName>
    <definedName name="_xlnm.Print_Titles" localSheetId="16">'Totalt pivot'!$4:$4</definedName>
  </definedNames>
  <calcPr calcId="162913"/>
  <pivotCaches>
    <pivotCache cacheId="15" r:id="rId20"/>
    <pivotCache cacheId="68" r:id="rId21"/>
    <pivotCache cacheId="88" r:id="rId22"/>
  </pivotCaches>
</workbook>
</file>

<file path=xl/calcChain.xml><?xml version="1.0" encoding="utf-8"?>
<calcChain xmlns="http://schemas.openxmlformats.org/spreadsheetml/2006/main">
  <c r="C7" i="3" l="1"/>
  <c r="D30" i="3"/>
  <c r="C30" i="3"/>
  <c r="E30" i="3" l="1"/>
  <c r="K6" i="185" l="1"/>
  <c r="L6" i="185"/>
  <c r="L46" i="185"/>
  <c r="L44" i="185"/>
  <c r="L32" i="185"/>
  <c r="L26" i="185"/>
  <c r="L24" i="185"/>
  <c r="L20" i="185"/>
  <c r="L18" i="185"/>
  <c r="L16" i="185"/>
  <c r="L12" i="185"/>
  <c r="L8" i="185"/>
  <c r="C218" i="78" l="1"/>
  <c r="O218" i="55"/>
  <c r="P218" i="55"/>
  <c r="Q218" i="55"/>
  <c r="R218" i="55"/>
  <c r="C156" i="78"/>
  <c r="O156" i="55"/>
  <c r="P156" i="55"/>
  <c r="Q156" i="55"/>
  <c r="R156" i="55"/>
  <c r="C127" i="78"/>
  <c r="O127" i="55"/>
  <c r="P127" i="55"/>
  <c r="Q127" i="55"/>
  <c r="R127" i="55"/>
  <c r="C33" i="78"/>
  <c r="O33" i="55"/>
  <c r="P33" i="55"/>
  <c r="Q33" i="55"/>
  <c r="R33" i="55"/>
  <c r="C15" i="78"/>
  <c r="O15" i="55"/>
  <c r="P15" i="55"/>
  <c r="Q15" i="55"/>
  <c r="R15" i="55"/>
  <c r="C204" i="78" l="1"/>
  <c r="O204" i="55"/>
  <c r="P204" i="55"/>
  <c r="Q204" i="55"/>
  <c r="R204" i="55"/>
  <c r="C187" i="78"/>
  <c r="O187" i="55"/>
  <c r="P187" i="55"/>
  <c r="Q187" i="55"/>
  <c r="R187" i="55"/>
  <c r="K32" i="185" l="1"/>
  <c r="K46" i="185"/>
  <c r="K44" i="185"/>
  <c r="K42" i="185"/>
  <c r="K40" i="185"/>
  <c r="K38" i="185"/>
  <c r="K36" i="185"/>
  <c r="K30" i="185"/>
  <c r="K26" i="185"/>
  <c r="K24" i="185"/>
  <c r="K22" i="185"/>
  <c r="K20" i="185"/>
  <c r="K16" i="185"/>
  <c r="K18" i="185"/>
  <c r="K12" i="185"/>
  <c r="K10" i="185"/>
  <c r="K8" i="185"/>
  <c r="F13" i="183"/>
  <c r="D13" i="183"/>
  <c r="L42" i="185" l="1"/>
  <c r="L19" i="185"/>
  <c r="G9" i="183"/>
  <c r="G10" i="183"/>
  <c r="G11" i="183"/>
  <c r="G12" i="183"/>
  <c r="G8" i="183"/>
  <c r="E46" i="185"/>
  <c r="D46" i="185"/>
  <c r="E44" i="185"/>
  <c r="D44" i="185"/>
  <c r="E42" i="185"/>
  <c r="D42" i="185"/>
  <c r="E40" i="185"/>
  <c r="D40" i="185"/>
  <c r="E38" i="185"/>
  <c r="D38" i="185"/>
  <c r="L38" i="185" s="1"/>
  <c r="E36" i="185"/>
  <c r="D36" i="185"/>
  <c r="E32" i="185"/>
  <c r="D32" i="185"/>
  <c r="E30" i="185"/>
  <c r="D30" i="185"/>
  <c r="E24" i="185"/>
  <c r="D24" i="185"/>
  <c r="E22" i="185"/>
  <c r="D22" i="185"/>
  <c r="L22" i="185" s="1"/>
  <c r="L23" i="185" s="1"/>
  <c r="E20" i="185"/>
  <c r="D20" i="185"/>
  <c r="E18" i="185"/>
  <c r="E26" i="185" s="1"/>
  <c r="D18" i="185"/>
  <c r="E16" i="185"/>
  <c r="D16" i="185"/>
  <c r="E12" i="185"/>
  <c r="D12" i="185"/>
  <c r="E10" i="185"/>
  <c r="D10" i="185"/>
  <c r="L10" i="185" s="1"/>
  <c r="E8" i="185"/>
  <c r="L9" i="185" s="1"/>
  <c r="D8" i="185"/>
  <c r="E6" i="185"/>
  <c r="D6" i="185"/>
  <c r="G21" i="183"/>
  <c r="F21" i="183"/>
  <c r="F16" i="183"/>
  <c r="F17" i="183"/>
  <c r="F18" i="183"/>
  <c r="G18" i="183" s="1"/>
  <c r="F19" i="183"/>
  <c r="F20" i="183"/>
  <c r="F14" i="183"/>
  <c r="F12" i="183"/>
  <c r="F8" i="183"/>
  <c r="F9" i="183"/>
  <c r="F10" i="183"/>
  <c r="F11" i="183"/>
  <c r="F5" i="183"/>
  <c r="F6" i="183"/>
  <c r="F7" i="183"/>
  <c r="F4" i="183"/>
  <c r="E5" i="183"/>
  <c r="G5" i="183" s="1"/>
  <c r="E6" i="183"/>
  <c r="G6" i="183" s="1"/>
  <c r="E7" i="183"/>
  <c r="G7" i="183" s="1"/>
  <c r="E8" i="183"/>
  <c r="E9" i="183"/>
  <c r="E10" i="183"/>
  <c r="E11" i="183"/>
  <c r="E12" i="183"/>
  <c r="E13" i="183"/>
  <c r="E14" i="183"/>
  <c r="G15" i="183"/>
  <c r="E16" i="183"/>
  <c r="E17" i="183"/>
  <c r="E18" i="183"/>
  <c r="E19" i="183"/>
  <c r="E20" i="183"/>
  <c r="E21" i="183"/>
  <c r="E4" i="183"/>
  <c r="G4" i="183" s="1"/>
  <c r="L40" i="185" l="1"/>
  <c r="L36" i="185"/>
  <c r="L43" i="185"/>
  <c r="L37" i="185"/>
  <c r="L39" i="185"/>
  <c r="L47" i="185"/>
  <c r="L45" i="185"/>
  <c r="L41" i="185"/>
  <c r="L30" i="185"/>
  <c r="L31" i="185" s="1"/>
  <c r="L33" i="185"/>
  <c r="L17" i="185"/>
  <c r="L21" i="185"/>
  <c r="L25" i="185"/>
  <c r="E49" i="185"/>
  <c r="L27" i="185"/>
  <c r="L13" i="185"/>
  <c r="L11" i="185"/>
  <c r="G13" i="183"/>
  <c r="L7" i="185"/>
  <c r="D49" i="185"/>
  <c r="L46" i="180"/>
  <c r="L44" i="180"/>
  <c r="L42" i="180"/>
  <c r="L40" i="180"/>
  <c r="L38" i="180"/>
  <c r="L36" i="180"/>
  <c r="L32" i="180"/>
  <c r="L30" i="180"/>
  <c r="L26" i="180"/>
  <c r="L24" i="180"/>
  <c r="L22" i="180"/>
  <c r="L20" i="180"/>
  <c r="L18" i="180"/>
  <c r="L16" i="180"/>
  <c r="L12" i="180"/>
  <c r="L10" i="180"/>
  <c r="L8" i="180"/>
  <c r="L6" i="180"/>
  <c r="E49" i="184"/>
  <c r="E46" i="184"/>
  <c r="D46" i="184"/>
  <c r="L46" i="184" s="1"/>
  <c r="L47" i="184" s="1"/>
  <c r="E44" i="184"/>
  <c r="D44" i="184"/>
  <c r="L44" i="184" s="1"/>
  <c r="L45" i="184" s="1"/>
  <c r="E42" i="184"/>
  <c r="D42" i="184"/>
  <c r="L42" i="184" s="1"/>
  <c r="L43" i="184" s="1"/>
  <c r="E40" i="184"/>
  <c r="D40" i="184"/>
  <c r="L40" i="184" s="1"/>
  <c r="L41" i="184" s="1"/>
  <c r="E38" i="184"/>
  <c r="D38" i="184"/>
  <c r="L38" i="184" s="1"/>
  <c r="L39" i="184" s="1"/>
  <c r="E36" i="184"/>
  <c r="D36" i="184"/>
  <c r="L36" i="184" s="1"/>
  <c r="L37" i="184" s="1"/>
  <c r="E32" i="184"/>
  <c r="D32" i="184"/>
  <c r="L32" i="184" s="1"/>
  <c r="L33" i="184" s="1"/>
  <c r="E30" i="184"/>
  <c r="D30" i="184"/>
  <c r="L30" i="184" s="1"/>
  <c r="L31" i="184" s="1"/>
  <c r="E26" i="184"/>
  <c r="L26" i="184" s="1"/>
  <c r="L27" i="184" s="1"/>
  <c r="L24" i="184"/>
  <c r="L25" i="184" s="1"/>
  <c r="E24" i="184"/>
  <c r="D24" i="184"/>
  <c r="E22" i="184"/>
  <c r="D22" i="184"/>
  <c r="L22" i="184" s="1"/>
  <c r="L23" i="184" s="1"/>
  <c r="L20" i="184"/>
  <c r="L21" i="184" s="1"/>
  <c r="E20" i="184"/>
  <c r="D20" i="184"/>
  <c r="E18" i="184"/>
  <c r="D18" i="184"/>
  <c r="L18" i="184" s="1"/>
  <c r="L19" i="184" s="1"/>
  <c r="L16" i="184"/>
  <c r="L17" i="184" s="1"/>
  <c r="E16" i="184"/>
  <c r="D16" i="184"/>
  <c r="E12" i="184"/>
  <c r="D12" i="184"/>
  <c r="L12" i="184" s="1"/>
  <c r="L13" i="184" s="1"/>
  <c r="L10" i="184"/>
  <c r="L11" i="184" s="1"/>
  <c r="E10" i="184"/>
  <c r="D10" i="184"/>
  <c r="E8" i="184"/>
  <c r="D8" i="184"/>
  <c r="L8" i="184" s="1"/>
  <c r="L9" i="184" s="1"/>
  <c r="L6" i="184"/>
  <c r="E6" i="184"/>
  <c r="D6" i="184"/>
  <c r="D49" i="184" s="1"/>
  <c r="E50" i="184" s="1"/>
  <c r="E50" i="185" l="1"/>
  <c r="L49" i="185"/>
  <c r="L7" i="184"/>
  <c r="L49" i="184" s="1"/>
  <c r="L21" i="180"/>
  <c r="E20" i="180"/>
  <c r="D20" i="180"/>
  <c r="L14" i="95" l="1"/>
  <c r="M14" i="95"/>
  <c r="N14" i="95"/>
  <c r="O14" i="95"/>
  <c r="H14" i="95"/>
  <c r="I14" i="95"/>
  <c r="J14" i="95"/>
  <c r="K14" i="95"/>
  <c r="D15" i="95"/>
  <c r="E15" i="95"/>
  <c r="F15" i="95"/>
  <c r="G15" i="95"/>
  <c r="D14" i="95"/>
  <c r="E14" i="95"/>
  <c r="F14" i="95"/>
  <c r="G14" i="95"/>
  <c r="C14" i="95"/>
  <c r="Q14" i="95" l="1"/>
  <c r="P14" i="95"/>
  <c r="R14" i="95"/>
  <c r="S14" i="95"/>
  <c r="O57" i="156"/>
  <c r="O58" i="156"/>
  <c r="O59" i="156"/>
  <c r="O61" i="156"/>
  <c r="O62" i="156"/>
  <c r="O63" i="156"/>
  <c r="O64" i="156"/>
  <c r="O65" i="156"/>
  <c r="O66" i="156"/>
  <c r="O67" i="156"/>
  <c r="O70" i="156"/>
  <c r="O69" i="156"/>
  <c r="O72" i="156"/>
  <c r="O73" i="156"/>
  <c r="O74" i="156"/>
  <c r="O75" i="156"/>
  <c r="O76" i="156"/>
  <c r="O77" i="156"/>
  <c r="O78" i="156"/>
  <c r="O79" i="156"/>
  <c r="O80" i="156"/>
  <c r="O81" i="156"/>
  <c r="O83" i="156"/>
  <c r="O84" i="156"/>
  <c r="O85" i="156"/>
  <c r="O86" i="156"/>
  <c r="O87" i="156"/>
  <c r="O88" i="156"/>
  <c r="O89" i="156"/>
  <c r="O90" i="156"/>
  <c r="O91" i="156"/>
  <c r="O92" i="156"/>
  <c r="O93" i="156"/>
  <c r="O94" i="156"/>
  <c r="O95" i="156"/>
  <c r="O96" i="156"/>
  <c r="O97" i="156"/>
  <c r="O98" i="156"/>
  <c r="O100" i="156"/>
  <c r="O101" i="156"/>
  <c r="O102" i="156"/>
  <c r="O103" i="156"/>
  <c r="O104" i="156"/>
  <c r="O105" i="156"/>
  <c r="O106" i="156"/>
  <c r="O108" i="156"/>
  <c r="O109" i="156"/>
  <c r="O107" i="156"/>
  <c r="O113" i="156"/>
  <c r="O111" i="156"/>
  <c r="O114" i="156"/>
  <c r="O112" i="156"/>
  <c r="O115" i="156"/>
  <c r="O119" i="156"/>
  <c r="O120" i="156"/>
  <c r="O117" i="156"/>
  <c r="O118" i="156"/>
  <c r="O122" i="156"/>
  <c r="O123" i="156"/>
  <c r="O126" i="156"/>
  <c r="O124" i="156"/>
  <c r="O127" i="156"/>
  <c r="O125" i="156"/>
  <c r="O128" i="156"/>
  <c r="O130" i="156"/>
  <c r="O136" i="156"/>
  <c r="O131" i="156"/>
  <c r="O137" i="156"/>
  <c r="O132" i="156"/>
  <c r="O138" i="156"/>
  <c r="O133" i="156"/>
  <c r="O134" i="156"/>
  <c r="O135" i="156"/>
  <c r="O60" i="156"/>
  <c r="O68" i="156"/>
  <c r="O71" i="156"/>
  <c r="O82" i="156"/>
  <c r="O99" i="156"/>
  <c r="O110" i="156"/>
  <c r="O116" i="156"/>
  <c r="O121" i="156"/>
  <c r="O129" i="156"/>
  <c r="G15" i="70"/>
  <c r="I15" i="70" s="1"/>
  <c r="J15" i="70"/>
  <c r="K15" i="70" s="1"/>
  <c r="L15" i="70"/>
  <c r="M15" i="70" s="1"/>
  <c r="D15" i="70"/>
  <c r="E15" i="70"/>
  <c r="B15" i="70"/>
  <c r="H15" i="70" l="1"/>
  <c r="C186" i="78" l="1"/>
  <c r="C173" i="78"/>
  <c r="C160" i="78"/>
  <c r="C148" i="78"/>
  <c r="C131" i="78"/>
  <c r="C128" i="78"/>
  <c r="C129" i="78"/>
  <c r="C130" i="78"/>
  <c r="C116" i="78"/>
  <c r="C63" i="78"/>
  <c r="C64" i="78"/>
  <c r="C65" i="78"/>
  <c r="C66" i="78"/>
  <c r="C28" i="78"/>
  <c r="C29" i="78"/>
  <c r="C21" i="78"/>
  <c r="C10" i="78"/>
  <c r="O186" i="55"/>
  <c r="P186" i="55"/>
  <c r="Q186" i="55"/>
  <c r="R186" i="55"/>
  <c r="O173" i="55"/>
  <c r="N15" i="70" s="1"/>
  <c r="P173" i="55"/>
  <c r="O15" i="70" s="1"/>
  <c r="Q173" i="55"/>
  <c r="P15" i="70" s="1"/>
  <c r="T15" i="70" s="1"/>
  <c r="R173" i="55"/>
  <c r="O160" i="55"/>
  <c r="P160" i="55"/>
  <c r="Q160" i="55"/>
  <c r="R160" i="55"/>
  <c r="O148" i="55"/>
  <c r="P148" i="55"/>
  <c r="Q148" i="55"/>
  <c r="R148" i="55"/>
  <c r="O131" i="55"/>
  <c r="P131" i="55"/>
  <c r="Q131" i="55"/>
  <c r="R131" i="55"/>
  <c r="O132" i="55"/>
  <c r="P132" i="55"/>
  <c r="Q132" i="55"/>
  <c r="R132" i="55"/>
  <c r="O128" i="55"/>
  <c r="P128" i="55"/>
  <c r="Q128" i="55"/>
  <c r="R128" i="55"/>
  <c r="O129" i="55"/>
  <c r="P129" i="55"/>
  <c r="Q129" i="55"/>
  <c r="R129" i="55"/>
  <c r="O130" i="55"/>
  <c r="P130" i="55"/>
  <c r="Q130" i="55"/>
  <c r="R130" i="55"/>
  <c r="O116" i="55"/>
  <c r="P116" i="55"/>
  <c r="Q116" i="55"/>
  <c r="R116" i="55"/>
  <c r="O63" i="55"/>
  <c r="P63" i="55"/>
  <c r="Q63" i="55"/>
  <c r="R63" i="55"/>
  <c r="O64" i="55"/>
  <c r="P64" i="55"/>
  <c r="Q64" i="55"/>
  <c r="R64" i="55"/>
  <c r="O65" i="55"/>
  <c r="P65" i="55"/>
  <c r="Q65" i="55"/>
  <c r="R65" i="55"/>
  <c r="O66" i="55"/>
  <c r="P66" i="55"/>
  <c r="Q66" i="55"/>
  <c r="R66" i="55"/>
  <c r="O28" i="55"/>
  <c r="P28" i="55"/>
  <c r="Q28" i="55"/>
  <c r="R28" i="55"/>
  <c r="O29" i="55"/>
  <c r="P29" i="55"/>
  <c r="Q29" i="55"/>
  <c r="R29" i="55"/>
  <c r="O21" i="55"/>
  <c r="P21" i="55"/>
  <c r="Q21" i="55"/>
  <c r="R21" i="55"/>
  <c r="O10" i="55"/>
  <c r="P10" i="55"/>
  <c r="Q10" i="55"/>
  <c r="R10" i="55"/>
  <c r="Q15" i="70" l="1"/>
  <c r="R15" i="70" s="1"/>
  <c r="S15" i="70" s="1"/>
  <c r="Q11" i="156"/>
  <c r="R11" i="156"/>
  <c r="S11" i="156" s="1"/>
  <c r="U11" i="156"/>
  <c r="AB11" i="156"/>
  <c r="AC11" i="156"/>
  <c r="AD11" i="156"/>
  <c r="AE11" i="156"/>
  <c r="AF11" i="156"/>
  <c r="AG11" i="156"/>
  <c r="AH11" i="156"/>
  <c r="AI11" i="156"/>
  <c r="AJ11" i="156"/>
  <c r="AK11" i="156"/>
  <c r="BH11" i="156" s="1"/>
  <c r="AL11" i="156"/>
  <c r="BI11" i="156" s="1"/>
  <c r="AM11" i="156"/>
  <c r="Q12" i="156"/>
  <c r="R12" i="156"/>
  <c r="S12" i="156" s="1"/>
  <c r="U12" i="156"/>
  <c r="AB12" i="156"/>
  <c r="AC12" i="156"/>
  <c r="AD12" i="156"/>
  <c r="AE12" i="156"/>
  <c r="AF12" i="156"/>
  <c r="AG12" i="156"/>
  <c r="AH12" i="156"/>
  <c r="AI12" i="156"/>
  <c r="AJ12" i="156"/>
  <c r="BF12" i="156" s="1"/>
  <c r="AK12" i="156"/>
  <c r="BH12" i="156" s="1"/>
  <c r="AL12" i="156"/>
  <c r="AM12" i="156"/>
  <c r="Q15" i="156"/>
  <c r="R15" i="156"/>
  <c r="S15" i="156" s="1"/>
  <c r="U15" i="156"/>
  <c r="AB15" i="156"/>
  <c r="AC15" i="156"/>
  <c r="AD15" i="156"/>
  <c r="AE15" i="156"/>
  <c r="AF15" i="156"/>
  <c r="AG15" i="156"/>
  <c r="AH15" i="156"/>
  <c r="AI15" i="156"/>
  <c r="AJ15" i="156"/>
  <c r="BF15" i="156" s="1"/>
  <c r="AK15" i="156"/>
  <c r="BH15" i="156" s="1"/>
  <c r="AL15" i="156"/>
  <c r="AM15" i="156"/>
  <c r="Q18" i="156"/>
  <c r="R18" i="156"/>
  <c r="T18" i="156" s="1"/>
  <c r="U18" i="156"/>
  <c r="AB18" i="156"/>
  <c r="AC18" i="156"/>
  <c r="AD18" i="156"/>
  <c r="AE18" i="156"/>
  <c r="AF18" i="156"/>
  <c r="AG18" i="156"/>
  <c r="AH18" i="156"/>
  <c r="AI18" i="156"/>
  <c r="BD18" i="156" s="1"/>
  <c r="AJ18" i="156"/>
  <c r="AK18" i="156"/>
  <c r="BH18" i="156" s="1"/>
  <c r="AL18" i="156"/>
  <c r="AM18" i="156"/>
  <c r="Q24" i="156"/>
  <c r="R24" i="156"/>
  <c r="U24" i="156"/>
  <c r="AB24" i="156"/>
  <c r="AC24" i="156"/>
  <c r="AD24" i="156"/>
  <c r="AE24" i="156"/>
  <c r="AF24" i="156"/>
  <c r="AG24" i="156"/>
  <c r="AH24" i="156"/>
  <c r="BC24" i="156" s="1"/>
  <c r="AI24" i="156"/>
  <c r="AJ24" i="156"/>
  <c r="AK24" i="156"/>
  <c r="BH24" i="156" s="1"/>
  <c r="AL24" i="156"/>
  <c r="AM24" i="156"/>
  <c r="Q28" i="156"/>
  <c r="R28" i="156"/>
  <c r="S28" i="156" s="1"/>
  <c r="U28" i="156"/>
  <c r="AB28" i="156"/>
  <c r="AC28" i="156"/>
  <c r="AD28" i="156"/>
  <c r="AT28" i="156" s="1"/>
  <c r="AE28" i="156"/>
  <c r="AF28" i="156"/>
  <c r="AG28" i="156"/>
  <c r="AH28" i="156"/>
  <c r="AI28" i="156"/>
  <c r="AJ28" i="156"/>
  <c r="AK28" i="156"/>
  <c r="BH28" i="156" s="1"/>
  <c r="AL28" i="156"/>
  <c r="AM28" i="156"/>
  <c r="Q37" i="156"/>
  <c r="R37" i="156"/>
  <c r="S37" i="156" s="1"/>
  <c r="U37" i="156"/>
  <c r="AB37" i="156"/>
  <c r="AC37" i="156"/>
  <c r="AD37" i="156"/>
  <c r="AT37" i="156" s="1"/>
  <c r="AE37" i="156"/>
  <c r="AF37" i="156"/>
  <c r="AG37" i="156"/>
  <c r="AH37" i="156"/>
  <c r="AI37" i="156"/>
  <c r="AJ37" i="156"/>
  <c r="AK37" i="156"/>
  <c r="BH37" i="156" s="1"/>
  <c r="AL37" i="156"/>
  <c r="AM37" i="156"/>
  <c r="Q46" i="156"/>
  <c r="R46" i="156"/>
  <c r="U46" i="156"/>
  <c r="AB46" i="156"/>
  <c r="AC46" i="156"/>
  <c r="AD46" i="156"/>
  <c r="AE46" i="156"/>
  <c r="AV46" i="156" s="1"/>
  <c r="AF46" i="156"/>
  <c r="AG46" i="156"/>
  <c r="AH46" i="156"/>
  <c r="AI46" i="156"/>
  <c r="AJ46" i="156"/>
  <c r="AK46" i="156"/>
  <c r="BH46" i="156" s="1"/>
  <c r="AL46" i="156"/>
  <c r="AM46" i="156"/>
  <c r="Q52" i="156"/>
  <c r="R52" i="156"/>
  <c r="S52" i="156" s="1"/>
  <c r="U52" i="156"/>
  <c r="AB52" i="156"/>
  <c r="AC52" i="156"/>
  <c r="AD52" i="156"/>
  <c r="AE52" i="156"/>
  <c r="AF52" i="156"/>
  <c r="AG52" i="156"/>
  <c r="AH52" i="156"/>
  <c r="AI52" i="156"/>
  <c r="AJ52" i="156"/>
  <c r="AK52" i="156"/>
  <c r="BH52" i="156" s="1"/>
  <c r="AL52" i="156"/>
  <c r="AM52" i="156"/>
  <c r="Q58" i="156"/>
  <c r="R58" i="156"/>
  <c r="S58" i="156" s="1"/>
  <c r="U58" i="156"/>
  <c r="AB58" i="156"/>
  <c r="AC58" i="156"/>
  <c r="AD58" i="156"/>
  <c r="AT58" i="156" s="1"/>
  <c r="AE58" i="156"/>
  <c r="AF58" i="156"/>
  <c r="AG58" i="156"/>
  <c r="AH58" i="156"/>
  <c r="AI58" i="156"/>
  <c r="AJ58" i="156"/>
  <c r="AK58" i="156"/>
  <c r="BH58" i="156" s="1"/>
  <c r="AL58" i="156"/>
  <c r="AM58" i="156"/>
  <c r="Q53" i="156"/>
  <c r="R53" i="156"/>
  <c r="S53" i="156" s="1"/>
  <c r="U53" i="156"/>
  <c r="AB53" i="156"/>
  <c r="AC53" i="156"/>
  <c r="AD53" i="156"/>
  <c r="AE53" i="156"/>
  <c r="AF53" i="156"/>
  <c r="AG53" i="156"/>
  <c r="AH53" i="156"/>
  <c r="AI53" i="156"/>
  <c r="AJ53" i="156"/>
  <c r="BF53" i="156" s="1"/>
  <c r="AK53" i="156"/>
  <c r="BH53" i="156" s="1"/>
  <c r="AL53" i="156"/>
  <c r="AM53" i="156"/>
  <c r="BK53" i="156" s="1"/>
  <c r="Q59" i="156"/>
  <c r="R59" i="156"/>
  <c r="U59" i="156"/>
  <c r="AB59" i="156"/>
  <c r="AC59" i="156"/>
  <c r="AD59" i="156"/>
  <c r="AE59" i="156"/>
  <c r="AF59" i="156"/>
  <c r="AG59" i="156"/>
  <c r="AH59" i="156"/>
  <c r="AI59" i="156"/>
  <c r="AJ59" i="156"/>
  <c r="AK59" i="156"/>
  <c r="BH59" i="156" s="1"/>
  <c r="AL59" i="156"/>
  <c r="AM59" i="156"/>
  <c r="Q61" i="156"/>
  <c r="R61" i="156"/>
  <c r="S61" i="156" s="1"/>
  <c r="U61" i="156"/>
  <c r="AB61" i="156"/>
  <c r="AC61" i="156"/>
  <c r="AD61" i="156"/>
  <c r="AE61" i="156"/>
  <c r="AF61" i="156"/>
  <c r="AG61" i="156"/>
  <c r="AH61" i="156"/>
  <c r="AI61" i="156"/>
  <c r="AJ61" i="156"/>
  <c r="AK61" i="156"/>
  <c r="BH61" i="156" s="1"/>
  <c r="AL61" i="156"/>
  <c r="AM61" i="156"/>
  <c r="Q62" i="156"/>
  <c r="R62" i="156"/>
  <c r="S62" i="156" s="1"/>
  <c r="U62" i="156"/>
  <c r="AB62" i="156"/>
  <c r="AP62" i="156" s="1"/>
  <c r="AC62" i="156"/>
  <c r="AD62" i="156"/>
  <c r="AE62" i="156"/>
  <c r="AF62" i="156"/>
  <c r="AG62" i="156"/>
  <c r="AH62" i="156"/>
  <c r="AI62" i="156"/>
  <c r="AJ62" i="156"/>
  <c r="BF62" i="156" s="1"/>
  <c r="AK62" i="156"/>
  <c r="BH62" i="156" s="1"/>
  <c r="AL62" i="156"/>
  <c r="AM62" i="156"/>
  <c r="Q63" i="156"/>
  <c r="R63" i="156"/>
  <c r="S63" i="156" s="1"/>
  <c r="U63" i="156"/>
  <c r="AB63" i="156"/>
  <c r="AC63" i="156"/>
  <c r="AD63" i="156"/>
  <c r="AT63" i="156" s="1"/>
  <c r="AE63" i="156"/>
  <c r="AF63" i="156"/>
  <c r="AG63" i="156"/>
  <c r="AH63" i="156"/>
  <c r="AI63" i="156"/>
  <c r="AJ63" i="156"/>
  <c r="AK63" i="156"/>
  <c r="BH63" i="156" s="1"/>
  <c r="AL63" i="156"/>
  <c r="AM63" i="156"/>
  <c r="Q64" i="156"/>
  <c r="R64" i="156"/>
  <c r="U64" i="156"/>
  <c r="AB64" i="156"/>
  <c r="AC64" i="156"/>
  <c r="AD64" i="156"/>
  <c r="AE64" i="156"/>
  <c r="AF64" i="156"/>
  <c r="AG64" i="156"/>
  <c r="AH64" i="156"/>
  <c r="AI64" i="156"/>
  <c r="AJ64" i="156"/>
  <c r="AK64" i="156"/>
  <c r="BH64" i="156" s="1"/>
  <c r="AL64" i="156"/>
  <c r="AM64" i="156"/>
  <c r="Q84" i="156"/>
  <c r="R84" i="156"/>
  <c r="T84" i="156" s="1"/>
  <c r="U84" i="156"/>
  <c r="AB84" i="156"/>
  <c r="AC84" i="156"/>
  <c r="AD84" i="156"/>
  <c r="AE84" i="156"/>
  <c r="AF84" i="156"/>
  <c r="AG84" i="156"/>
  <c r="AH84" i="156"/>
  <c r="BB84" i="156" s="1"/>
  <c r="AI84" i="156"/>
  <c r="AJ84" i="156"/>
  <c r="AK84" i="156"/>
  <c r="BH84" i="156" s="1"/>
  <c r="AL84" i="156"/>
  <c r="AM84" i="156"/>
  <c r="Q85" i="156"/>
  <c r="R85" i="156"/>
  <c r="S85" i="156" s="1"/>
  <c r="U85" i="156"/>
  <c r="AB85" i="156"/>
  <c r="AC85" i="156"/>
  <c r="AD85" i="156"/>
  <c r="AT85" i="156" s="1"/>
  <c r="AE85" i="156"/>
  <c r="AF85" i="156"/>
  <c r="AG85" i="156"/>
  <c r="AH85" i="156"/>
  <c r="AI85" i="156"/>
  <c r="AJ85" i="156"/>
  <c r="AK85" i="156"/>
  <c r="BH85" i="156" s="1"/>
  <c r="AL85" i="156"/>
  <c r="AM85" i="156"/>
  <c r="Q86" i="156"/>
  <c r="R86" i="156"/>
  <c r="S86" i="156" s="1"/>
  <c r="U86" i="156"/>
  <c r="AB86" i="156"/>
  <c r="AC86" i="156"/>
  <c r="AD86" i="156"/>
  <c r="AE86" i="156"/>
  <c r="AF86" i="156"/>
  <c r="AX86" i="156" s="1"/>
  <c r="AG86" i="156"/>
  <c r="AH86" i="156"/>
  <c r="AI86" i="156"/>
  <c r="BD86" i="156" s="1"/>
  <c r="AJ86" i="156"/>
  <c r="AK86" i="156"/>
  <c r="BH86" i="156" s="1"/>
  <c r="AL86" i="156"/>
  <c r="AM86" i="156"/>
  <c r="Q87" i="156"/>
  <c r="R87" i="156"/>
  <c r="U87" i="156"/>
  <c r="AB87" i="156"/>
  <c r="AC87" i="156"/>
  <c r="AD87" i="156"/>
  <c r="AE87" i="156"/>
  <c r="AV87" i="156" s="1"/>
  <c r="AF87" i="156"/>
  <c r="AG87" i="156"/>
  <c r="AH87" i="156"/>
  <c r="AI87" i="156"/>
  <c r="AJ87" i="156"/>
  <c r="AK87" i="156"/>
  <c r="BH87" i="156" s="1"/>
  <c r="AL87" i="156"/>
  <c r="AM87" i="156"/>
  <c r="Q88" i="156"/>
  <c r="R88" i="156"/>
  <c r="S88" i="156" s="1"/>
  <c r="U88" i="156"/>
  <c r="AB88" i="156"/>
  <c r="AC88" i="156"/>
  <c r="AD88" i="156"/>
  <c r="AE88" i="156"/>
  <c r="AF88" i="156"/>
  <c r="AG88" i="156"/>
  <c r="AZ88" i="156" s="1"/>
  <c r="AH88" i="156"/>
  <c r="AI88" i="156"/>
  <c r="AJ88" i="156"/>
  <c r="AK88" i="156"/>
  <c r="BH88" i="156" s="1"/>
  <c r="AL88" i="156"/>
  <c r="AM88" i="156"/>
  <c r="Q91" i="156"/>
  <c r="R91" i="156"/>
  <c r="S91" i="156" s="1"/>
  <c r="U91" i="156"/>
  <c r="AB91" i="156"/>
  <c r="AC91" i="156"/>
  <c r="AD91" i="156"/>
  <c r="AE91" i="156"/>
  <c r="AF91" i="156"/>
  <c r="AX91" i="156" s="1"/>
  <c r="AG91" i="156"/>
  <c r="AH91" i="156"/>
  <c r="AI91" i="156"/>
  <c r="AJ91" i="156"/>
  <c r="AK91" i="156"/>
  <c r="BH91" i="156" s="1"/>
  <c r="AL91" i="156"/>
  <c r="BI91" i="156" s="1"/>
  <c r="AM91" i="156"/>
  <c r="Q92" i="156"/>
  <c r="R92" i="156"/>
  <c r="S92" i="156" s="1"/>
  <c r="U92" i="156"/>
  <c r="AB92" i="156"/>
  <c r="AC92" i="156"/>
  <c r="AD92" i="156"/>
  <c r="AE92" i="156"/>
  <c r="AF92" i="156"/>
  <c r="AG92" i="156"/>
  <c r="AH92" i="156"/>
  <c r="BB92" i="156" s="1"/>
  <c r="AI92" i="156"/>
  <c r="AJ92" i="156"/>
  <c r="AK92" i="156"/>
  <c r="BH92" i="156" s="1"/>
  <c r="AL92" i="156"/>
  <c r="AM92" i="156"/>
  <c r="Q101" i="156"/>
  <c r="R101" i="156"/>
  <c r="U101" i="156"/>
  <c r="AB101" i="156"/>
  <c r="AC101" i="156"/>
  <c r="AD101" i="156"/>
  <c r="AE101" i="156"/>
  <c r="AF101" i="156"/>
  <c r="AG101" i="156"/>
  <c r="AZ101" i="156" s="1"/>
  <c r="AH101" i="156"/>
  <c r="AI101" i="156"/>
  <c r="AJ101" i="156"/>
  <c r="AK101" i="156"/>
  <c r="BH101" i="156" s="1"/>
  <c r="AL101" i="156"/>
  <c r="AM101" i="156"/>
  <c r="BK101" i="156" s="1"/>
  <c r="Q102" i="156"/>
  <c r="R102" i="156"/>
  <c r="S102" i="156" s="1"/>
  <c r="U102" i="156"/>
  <c r="AB102" i="156"/>
  <c r="AC102" i="156"/>
  <c r="AD102" i="156"/>
  <c r="AT102" i="156" s="1"/>
  <c r="AE102" i="156"/>
  <c r="AF102" i="156"/>
  <c r="AG102" i="156"/>
  <c r="AH102" i="156"/>
  <c r="AI102" i="156"/>
  <c r="BD102" i="156" s="1"/>
  <c r="AJ102" i="156"/>
  <c r="AK102" i="156"/>
  <c r="BH102" i="156" s="1"/>
  <c r="AL102" i="156"/>
  <c r="BI102" i="156" s="1"/>
  <c r="AM102" i="156"/>
  <c r="Q103" i="156"/>
  <c r="R103" i="156"/>
  <c r="S103" i="156" s="1"/>
  <c r="U103" i="156"/>
  <c r="AB103" i="156"/>
  <c r="AC103" i="156"/>
  <c r="AD103" i="156"/>
  <c r="AE103" i="156"/>
  <c r="AF103" i="156"/>
  <c r="AG103" i="156"/>
  <c r="AH103" i="156"/>
  <c r="BB103" i="156" s="1"/>
  <c r="AI103" i="156"/>
  <c r="AJ103" i="156"/>
  <c r="AK103" i="156"/>
  <c r="BH103" i="156" s="1"/>
  <c r="AL103" i="156"/>
  <c r="AM103" i="156"/>
  <c r="Q109" i="156"/>
  <c r="R109" i="156"/>
  <c r="S109" i="156" s="1"/>
  <c r="U109" i="156"/>
  <c r="AB109" i="156"/>
  <c r="AP109" i="156" s="1"/>
  <c r="AC109" i="156"/>
  <c r="AD109" i="156"/>
  <c r="AE109" i="156"/>
  <c r="AF109" i="156"/>
  <c r="AG109" i="156"/>
  <c r="AH109" i="156"/>
  <c r="AI109" i="156"/>
  <c r="AJ109" i="156"/>
  <c r="BF109" i="156" s="1"/>
  <c r="AK109" i="156"/>
  <c r="BH109" i="156" s="1"/>
  <c r="AL109" i="156"/>
  <c r="AM109" i="156"/>
  <c r="BK109" i="156" s="1"/>
  <c r="Q107" i="156"/>
  <c r="R107" i="156"/>
  <c r="T107" i="156" s="1"/>
  <c r="U107" i="156"/>
  <c r="AB107" i="156"/>
  <c r="AC107" i="156"/>
  <c r="AD107" i="156"/>
  <c r="AE107" i="156"/>
  <c r="AF107" i="156"/>
  <c r="AG107" i="156"/>
  <c r="AH107" i="156"/>
  <c r="AI107" i="156"/>
  <c r="BD107" i="156" s="1"/>
  <c r="AJ107" i="156"/>
  <c r="AK107" i="156"/>
  <c r="BH107" i="156" s="1"/>
  <c r="AL107" i="156"/>
  <c r="AM107" i="156"/>
  <c r="Q111" i="156"/>
  <c r="R111" i="156"/>
  <c r="S111" i="156" s="1"/>
  <c r="U111" i="156"/>
  <c r="AB111" i="156"/>
  <c r="AC111" i="156"/>
  <c r="AR111" i="156" s="1"/>
  <c r="AD111" i="156"/>
  <c r="AE111" i="156"/>
  <c r="AF111" i="156"/>
  <c r="AG111" i="156"/>
  <c r="AH111" i="156"/>
  <c r="AI111" i="156"/>
  <c r="AJ111" i="156"/>
  <c r="AK111" i="156"/>
  <c r="BH111" i="156" s="1"/>
  <c r="AL111" i="156"/>
  <c r="AM111" i="156"/>
  <c r="Q114" i="156"/>
  <c r="R114" i="156"/>
  <c r="S114" i="156" s="1"/>
  <c r="U114" i="156"/>
  <c r="AB114" i="156"/>
  <c r="AP114" i="156" s="1"/>
  <c r="AC114" i="156"/>
  <c r="AD114" i="156"/>
  <c r="AE114" i="156"/>
  <c r="AF114" i="156"/>
  <c r="AG114" i="156"/>
  <c r="AH114" i="156"/>
  <c r="AI114" i="156"/>
  <c r="AJ114" i="156"/>
  <c r="AK114" i="156"/>
  <c r="BH114" i="156" s="1"/>
  <c r="AL114" i="156"/>
  <c r="BI114" i="156" s="1"/>
  <c r="AM114" i="156"/>
  <c r="BK114" i="156" s="1"/>
  <c r="Q115" i="156"/>
  <c r="R115" i="156"/>
  <c r="S115" i="156" s="1"/>
  <c r="U115" i="156"/>
  <c r="AB115" i="156"/>
  <c r="AC115" i="156"/>
  <c r="AD115" i="156"/>
  <c r="AT115" i="156" s="1"/>
  <c r="AE115" i="156"/>
  <c r="AV115" i="156" s="1"/>
  <c r="AF115" i="156"/>
  <c r="AG115" i="156"/>
  <c r="AH115" i="156"/>
  <c r="AI115" i="156"/>
  <c r="BD115" i="156" s="1"/>
  <c r="AJ115" i="156"/>
  <c r="AK115" i="156"/>
  <c r="BH115" i="156" s="1"/>
  <c r="AL115" i="156"/>
  <c r="AM115" i="156"/>
  <c r="Q126" i="156"/>
  <c r="R126" i="156"/>
  <c r="T126" i="156" s="1"/>
  <c r="U126" i="156"/>
  <c r="AB126" i="156"/>
  <c r="AC126" i="156"/>
  <c r="AD126" i="156"/>
  <c r="AE126" i="156"/>
  <c r="AF126" i="156"/>
  <c r="AG126" i="156"/>
  <c r="AH126" i="156"/>
  <c r="AI126" i="156"/>
  <c r="AJ126" i="156"/>
  <c r="AK126" i="156"/>
  <c r="BH126" i="156" s="1"/>
  <c r="AL126" i="156"/>
  <c r="AM126" i="156"/>
  <c r="Q128" i="156"/>
  <c r="R128" i="156"/>
  <c r="T128" i="156" s="1"/>
  <c r="U128" i="156"/>
  <c r="AB128" i="156"/>
  <c r="AC128" i="156"/>
  <c r="AD128" i="156"/>
  <c r="AE128" i="156"/>
  <c r="AF128" i="156"/>
  <c r="AX128" i="156" s="1"/>
  <c r="AG128" i="156"/>
  <c r="AH128" i="156"/>
  <c r="AI128" i="156"/>
  <c r="AJ128" i="156"/>
  <c r="BF128" i="156" s="1"/>
  <c r="AK128" i="156"/>
  <c r="BH128" i="156" s="1"/>
  <c r="AL128" i="156"/>
  <c r="AM128" i="156"/>
  <c r="Q130" i="156"/>
  <c r="R130" i="156"/>
  <c r="S130" i="156" s="1"/>
  <c r="U130" i="156"/>
  <c r="AB130" i="156"/>
  <c r="AC130" i="156"/>
  <c r="AD130" i="156"/>
  <c r="AE130" i="156"/>
  <c r="AF130" i="156"/>
  <c r="AG130" i="156"/>
  <c r="AH130" i="156"/>
  <c r="AI130" i="156"/>
  <c r="AJ130" i="156"/>
  <c r="AK130" i="156"/>
  <c r="BH130" i="156" s="1"/>
  <c r="AL130" i="156"/>
  <c r="AM130" i="156"/>
  <c r="Q136" i="156"/>
  <c r="R136" i="156"/>
  <c r="S136" i="156" s="1"/>
  <c r="U136" i="156"/>
  <c r="AB136" i="156"/>
  <c r="AC136" i="156"/>
  <c r="AR136" i="156" s="1"/>
  <c r="AD136" i="156"/>
  <c r="AE136" i="156"/>
  <c r="AF136" i="156"/>
  <c r="AG136" i="156"/>
  <c r="AH136" i="156"/>
  <c r="AI136" i="156"/>
  <c r="AJ136" i="156"/>
  <c r="AK136" i="156"/>
  <c r="BH136" i="156" s="1"/>
  <c r="AL136" i="156"/>
  <c r="AM136" i="156"/>
  <c r="Q133" i="156"/>
  <c r="R133" i="156"/>
  <c r="T133" i="156" s="1"/>
  <c r="U133" i="156"/>
  <c r="AB133" i="156"/>
  <c r="AC133" i="156"/>
  <c r="AD133" i="156"/>
  <c r="AE133" i="156"/>
  <c r="AF133" i="156"/>
  <c r="AG133" i="156"/>
  <c r="AH133" i="156"/>
  <c r="AI133" i="156"/>
  <c r="AJ133" i="156"/>
  <c r="AK133" i="156"/>
  <c r="BH133" i="156" s="1"/>
  <c r="AL133" i="156"/>
  <c r="AM133" i="156"/>
  <c r="Q134" i="156"/>
  <c r="R134" i="156"/>
  <c r="T134" i="156" s="1"/>
  <c r="U134" i="156"/>
  <c r="AB134" i="156"/>
  <c r="AC134" i="156"/>
  <c r="AD134" i="156"/>
  <c r="AE134" i="156"/>
  <c r="AF134" i="156"/>
  <c r="AG134" i="156"/>
  <c r="AH134" i="156"/>
  <c r="BB134" i="156" s="1"/>
  <c r="AI134" i="156"/>
  <c r="AJ134" i="156"/>
  <c r="AK134" i="156"/>
  <c r="BH134" i="156" s="1"/>
  <c r="AL134" i="156"/>
  <c r="AM134" i="156"/>
  <c r="Q135" i="156"/>
  <c r="R135" i="156"/>
  <c r="S135" i="156" s="1"/>
  <c r="U135" i="156"/>
  <c r="AB135" i="156"/>
  <c r="AC135" i="156"/>
  <c r="AD135" i="156"/>
  <c r="AE135" i="156"/>
  <c r="AF135" i="156"/>
  <c r="AG135" i="156"/>
  <c r="AH135" i="156"/>
  <c r="BB135" i="156" s="1"/>
  <c r="AI135" i="156"/>
  <c r="AJ135" i="156"/>
  <c r="BF135" i="156" s="1"/>
  <c r="AK135" i="156"/>
  <c r="BH135" i="156" s="1"/>
  <c r="AL135" i="156"/>
  <c r="AM135" i="156"/>
  <c r="B11" i="156"/>
  <c r="B12" i="156"/>
  <c r="B15" i="156"/>
  <c r="B18" i="156"/>
  <c r="B24" i="156"/>
  <c r="B28" i="156"/>
  <c r="B37" i="156"/>
  <c r="B46" i="156"/>
  <c r="B52" i="156"/>
  <c r="B58" i="156"/>
  <c r="B53" i="156"/>
  <c r="B59" i="156"/>
  <c r="B61" i="156"/>
  <c r="B62" i="156"/>
  <c r="B63" i="156"/>
  <c r="B64" i="156"/>
  <c r="B84" i="156"/>
  <c r="B85" i="156"/>
  <c r="B86" i="156"/>
  <c r="B87" i="156"/>
  <c r="B88" i="156"/>
  <c r="B91" i="156"/>
  <c r="B92" i="156"/>
  <c r="B101" i="156"/>
  <c r="B102" i="156"/>
  <c r="B103" i="156"/>
  <c r="B109" i="156"/>
  <c r="B107" i="156"/>
  <c r="B111" i="156"/>
  <c r="B114" i="156"/>
  <c r="B115" i="156"/>
  <c r="B126" i="156"/>
  <c r="B128" i="156"/>
  <c r="B130" i="156"/>
  <c r="B136" i="156"/>
  <c r="B133" i="156"/>
  <c r="B134" i="156"/>
  <c r="B135" i="156"/>
  <c r="AU133" i="156" l="1"/>
  <c r="BJ61" i="156"/>
  <c r="AS53" i="156"/>
  <c r="BG88" i="156"/>
  <c r="AQ88" i="156"/>
  <c r="BJ64" i="156"/>
  <c r="AU91" i="156"/>
  <c r="BL115" i="156"/>
  <c r="BE114" i="156"/>
  <c r="S84" i="156"/>
  <c r="BE107" i="156"/>
  <c r="T114" i="156"/>
  <c r="BL109" i="156"/>
  <c r="AS92" i="156"/>
  <c r="AW87" i="156"/>
  <c r="BG15" i="156"/>
  <c r="S128" i="156"/>
  <c r="AW109" i="156"/>
  <c r="BJ102" i="156"/>
  <c r="AY91" i="156"/>
  <c r="AQ62" i="156"/>
  <c r="T12" i="156"/>
  <c r="T88" i="156"/>
  <c r="T61" i="156"/>
  <c r="T135" i="156"/>
  <c r="BG128" i="156"/>
  <c r="T103" i="156"/>
  <c r="AW46" i="156"/>
  <c r="AR92" i="156"/>
  <c r="BG135" i="156"/>
  <c r="BC114" i="156"/>
  <c r="T11" i="156"/>
  <c r="S134" i="156"/>
  <c r="T130" i="156"/>
  <c r="S107" i="156"/>
  <c r="T102" i="156"/>
  <c r="T52" i="156"/>
  <c r="BI64" i="156"/>
  <c r="AR53" i="156"/>
  <c r="AY128" i="156"/>
  <c r="BL85" i="156"/>
  <c r="BC135" i="156"/>
  <c r="AQ126" i="156"/>
  <c r="AU102" i="156"/>
  <c r="BE126" i="156"/>
  <c r="AY61" i="156"/>
  <c r="AY103" i="156"/>
  <c r="AY24" i="156"/>
  <c r="AQ52" i="156"/>
  <c r="BG62" i="156"/>
  <c r="AW101" i="156"/>
  <c r="BA37" i="156"/>
  <c r="AY126" i="156"/>
  <c r="BA107" i="156"/>
  <c r="BC84" i="156"/>
  <c r="BL134" i="156"/>
  <c r="AW126" i="156"/>
  <c r="BA59" i="156"/>
  <c r="BL58" i="156"/>
  <c r="BC133" i="156"/>
  <c r="BE86" i="156"/>
  <c r="BA15" i="156"/>
  <c r="AV130" i="156"/>
  <c r="AW130" i="156"/>
  <c r="AR61" i="156"/>
  <c r="AS61" i="156"/>
  <c r="BC28" i="156"/>
  <c r="BB28" i="156"/>
  <c r="AZ134" i="156"/>
  <c r="BA134" i="156"/>
  <c r="BI130" i="156"/>
  <c r="BJ130" i="156"/>
  <c r="BK92" i="156"/>
  <c r="BL92" i="156"/>
  <c r="BL63" i="156"/>
  <c r="BK63" i="156"/>
  <c r="AP135" i="156"/>
  <c r="AQ135" i="156"/>
  <c r="AX134" i="156"/>
  <c r="AY134" i="156"/>
  <c r="BI133" i="156"/>
  <c r="BJ133" i="156"/>
  <c r="S133" i="156"/>
  <c r="BB136" i="156"/>
  <c r="BC136" i="156"/>
  <c r="AS130" i="156"/>
  <c r="AR130" i="156"/>
  <c r="BG126" i="156"/>
  <c r="BF126" i="156"/>
  <c r="BJ107" i="156"/>
  <c r="BI107" i="156"/>
  <c r="AT107" i="156"/>
  <c r="AU107" i="156"/>
  <c r="BB109" i="156"/>
  <c r="BC109" i="156"/>
  <c r="BD101" i="156"/>
  <c r="BE101" i="156"/>
  <c r="BL84" i="156"/>
  <c r="BK84" i="156"/>
  <c r="AV84" i="156"/>
  <c r="AW84" i="156"/>
  <c r="BE64" i="156"/>
  <c r="BD64" i="156"/>
  <c r="BK52" i="156"/>
  <c r="BL52" i="156"/>
  <c r="AV52" i="156"/>
  <c r="AW52" i="156"/>
  <c r="BB12" i="156"/>
  <c r="BC12" i="156"/>
  <c r="AR11" i="156"/>
  <c r="AS11" i="156"/>
  <c r="BK134" i="156"/>
  <c r="AX126" i="156"/>
  <c r="BL53" i="156"/>
  <c r="AX133" i="156"/>
  <c r="AY133" i="156"/>
  <c r="AP136" i="156"/>
  <c r="AQ136" i="156"/>
  <c r="BI126" i="156"/>
  <c r="BJ126" i="156"/>
  <c r="AU111" i="156"/>
  <c r="AT111" i="156"/>
  <c r="AR64" i="156"/>
  <c r="AS64" i="156"/>
  <c r="BK37" i="156"/>
  <c r="BL37" i="156"/>
  <c r="BD136" i="156"/>
  <c r="BE136" i="156"/>
  <c r="AZ128" i="156"/>
  <c r="BA128" i="156"/>
  <c r="AX115" i="156"/>
  <c r="AY115" i="156"/>
  <c r="AY102" i="156"/>
  <c r="AX102" i="156"/>
  <c r="BC62" i="156"/>
  <c r="BB62" i="156"/>
  <c r="BE135" i="156"/>
  <c r="BD135" i="156"/>
  <c r="AV134" i="156"/>
  <c r="AW134" i="156"/>
  <c r="AS133" i="156"/>
  <c r="AR133" i="156"/>
  <c r="AZ136" i="156"/>
  <c r="BA136" i="156"/>
  <c r="BG130" i="156"/>
  <c r="BF130" i="156"/>
  <c r="AQ130" i="156"/>
  <c r="AP130" i="156"/>
  <c r="BK128" i="156"/>
  <c r="BL128" i="156"/>
  <c r="AV128" i="156"/>
  <c r="AW128" i="156"/>
  <c r="BE103" i="156"/>
  <c r="BD103" i="156"/>
  <c r="T87" i="156"/>
  <c r="S87" i="156"/>
  <c r="BA86" i="156"/>
  <c r="AZ86" i="156"/>
  <c r="BG85" i="156"/>
  <c r="BF85" i="156"/>
  <c r="AQ85" i="156"/>
  <c r="AP85" i="156"/>
  <c r="T59" i="156"/>
  <c r="S59" i="156"/>
  <c r="BA53" i="156"/>
  <c r="AZ53" i="156"/>
  <c r="BF58" i="156"/>
  <c r="BG58" i="156"/>
  <c r="AQ58" i="156"/>
  <c r="AP58" i="156"/>
  <c r="BK15" i="156"/>
  <c r="BL15" i="156"/>
  <c r="AW15" i="156"/>
  <c r="AV15" i="156"/>
  <c r="BC134" i="156"/>
  <c r="AP126" i="156"/>
  <c r="AU135" i="156"/>
  <c r="AT135" i="156"/>
  <c r="BK130" i="156"/>
  <c r="BL130" i="156"/>
  <c r="AT126" i="156"/>
  <c r="AU126" i="156"/>
  <c r="AR88" i="156"/>
  <c r="AS88" i="156"/>
  <c r="AW37" i="156"/>
  <c r="AV37" i="156"/>
  <c r="BG24" i="156"/>
  <c r="BF24" i="156"/>
  <c r="BK133" i="156"/>
  <c r="BL133" i="156"/>
  <c r="AT130" i="156"/>
  <c r="AU130" i="156"/>
  <c r="BB91" i="156"/>
  <c r="BC91" i="156"/>
  <c r="BJ134" i="156"/>
  <c r="BI134" i="156"/>
  <c r="AT134" i="156"/>
  <c r="AU134" i="156"/>
  <c r="BF133" i="156"/>
  <c r="BG133" i="156"/>
  <c r="AP133" i="156"/>
  <c r="AQ133" i="156"/>
  <c r="AX136" i="156"/>
  <c r="AY136" i="156"/>
  <c r="BD130" i="156"/>
  <c r="BE130" i="156"/>
  <c r="BI128" i="156"/>
  <c r="BJ128" i="156"/>
  <c r="AT128" i="156"/>
  <c r="AU128" i="156"/>
  <c r="BB126" i="156"/>
  <c r="BC126" i="156"/>
  <c r="BG107" i="156"/>
  <c r="BF107" i="156"/>
  <c r="AQ107" i="156"/>
  <c r="AP107" i="156"/>
  <c r="AX109" i="156"/>
  <c r="AY109" i="156"/>
  <c r="AS87" i="156"/>
  <c r="AR87" i="156"/>
  <c r="AR84" i="156"/>
  <c r="AS84" i="156"/>
  <c r="AR59" i="156"/>
  <c r="AS59" i="156"/>
  <c r="AR52" i="156"/>
  <c r="AS52" i="156"/>
  <c r="AX12" i="156"/>
  <c r="AY12" i="156"/>
  <c r="BD11" i="156"/>
  <c r="BE11" i="156"/>
  <c r="BB133" i="156"/>
  <c r="BL114" i="156"/>
  <c r="BI135" i="156"/>
  <c r="BJ135" i="156"/>
  <c r="BF136" i="156"/>
  <c r="BG136" i="156"/>
  <c r="BB128" i="156"/>
  <c r="BC128" i="156"/>
  <c r="AZ115" i="156"/>
  <c r="BA115" i="156"/>
  <c r="BJ111" i="156"/>
  <c r="BI111" i="156"/>
  <c r="AR101" i="156"/>
  <c r="AS101" i="156"/>
  <c r="AQ24" i="156"/>
  <c r="AP24" i="156"/>
  <c r="AR135" i="156"/>
  <c r="AS135" i="156"/>
  <c r="AV133" i="156"/>
  <c r="AW133" i="156"/>
  <c r="AR126" i="156"/>
  <c r="AS126" i="156"/>
  <c r="AR103" i="156"/>
  <c r="AS103" i="156"/>
  <c r="AW92" i="156"/>
  <c r="AV92" i="156"/>
  <c r="AW63" i="156"/>
  <c r="AV63" i="156"/>
  <c r="BD46" i="156"/>
  <c r="BE46" i="156"/>
  <c r="AZ135" i="156"/>
  <c r="BA135" i="156"/>
  <c r="AR134" i="156"/>
  <c r="AS134" i="156"/>
  <c r="BD133" i="156"/>
  <c r="BE133" i="156"/>
  <c r="BK136" i="156"/>
  <c r="BL136" i="156"/>
  <c r="AV136" i="156"/>
  <c r="AW136" i="156"/>
  <c r="BB130" i="156"/>
  <c r="BC130" i="156"/>
  <c r="AR128" i="156"/>
  <c r="AS128" i="156"/>
  <c r="BF115" i="156"/>
  <c r="BG115" i="156"/>
  <c r="AP115" i="156"/>
  <c r="AQ115" i="156"/>
  <c r="BK86" i="156"/>
  <c r="BL86" i="156"/>
  <c r="AV86" i="156"/>
  <c r="AW86" i="156"/>
  <c r="BB85" i="156"/>
  <c r="BC85" i="156"/>
  <c r="AW53" i="156"/>
  <c r="AV53" i="156"/>
  <c r="BB58" i="156"/>
  <c r="BC58" i="156"/>
  <c r="AS15" i="156"/>
  <c r="AR15" i="156"/>
  <c r="AT133" i="156"/>
  <c r="BD114" i="156"/>
  <c r="AZ37" i="156"/>
  <c r="AX135" i="156"/>
  <c r="AY135" i="156"/>
  <c r="BF134" i="156"/>
  <c r="BG134" i="156"/>
  <c r="AP134" i="156"/>
  <c r="AQ134" i="156"/>
  <c r="BJ136" i="156"/>
  <c r="BI136" i="156"/>
  <c r="AT136" i="156"/>
  <c r="AU136" i="156"/>
  <c r="BA130" i="156"/>
  <c r="AZ130" i="156"/>
  <c r="AP128" i="156"/>
  <c r="AQ128" i="156"/>
  <c r="AS114" i="156"/>
  <c r="AR114" i="156"/>
  <c r="AY111" i="156"/>
  <c r="AX111" i="156"/>
  <c r="BK88" i="156"/>
  <c r="BL88" i="156"/>
  <c r="AV88" i="156"/>
  <c r="AW88" i="156"/>
  <c r="BD87" i="156"/>
  <c r="BE87" i="156"/>
  <c r="BK61" i="156"/>
  <c r="BL61" i="156"/>
  <c r="AV61" i="156"/>
  <c r="AW61" i="156"/>
  <c r="BD59" i="156"/>
  <c r="BE59" i="156"/>
  <c r="T46" i="156"/>
  <c r="S46" i="156"/>
  <c r="BF28" i="156"/>
  <c r="BG28" i="156"/>
  <c r="AP28" i="156"/>
  <c r="AQ28" i="156"/>
  <c r="BI24" i="156"/>
  <c r="BJ24" i="156"/>
  <c r="AU24" i="156"/>
  <c r="AT24" i="156"/>
  <c r="S24" i="156"/>
  <c r="T24" i="156"/>
  <c r="BA18" i="156"/>
  <c r="AZ18" i="156"/>
  <c r="AS136" i="156"/>
  <c r="BE18" i="156"/>
  <c r="BK135" i="156"/>
  <c r="BL135" i="156"/>
  <c r="AW135" i="156"/>
  <c r="AV135" i="156"/>
  <c r="BD134" i="156"/>
  <c r="BE134" i="156"/>
  <c r="BA133" i="156"/>
  <c r="AZ133" i="156"/>
  <c r="AY130" i="156"/>
  <c r="AX130" i="156"/>
  <c r="BD128" i="156"/>
  <c r="BE128" i="156"/>
  <c r="BK126" i="156"/>
  <c r="BL126" i="156"/>
  <c r="S126" i="156"/>
  <c r="BB115" i="156"/>
  <c r="BC115" i="156"/>
  <c r="T101" i="156"/>
  <c r="S101" i="156"/>
  <c r="AZ92" i="156"/>
  <c r="BA92" i="156"/>
  <c r="BF91" i="156"/>
  <c r="BG91" i="156"/>
  <c r="AP91" i="156"/>
  <c r="AQ91" i="156"/>
  <c r="T64" i="156"/>
  <c r="S64" i="156"/>
  <c r="BA63" i="156"/>
  <c r="AZ63" i="156"/>
  <c r="AR46" i="156"/>
  <c r="AS46" i="156"/>
  <c r="BF114" i="156"/>
  <c r="BG114" i="156"/>
  <c r="BK111" i="156"/>
  <c r="BL111" i="156"/>
  <c r="AV111" i="156"/>
  <c r="AW111" i="156"/>
  <c r="AR107" i="156"/>
  <c r="AS107" i="156"/>
  <c r="BA109" i="156"/>
  <c r="AZ109" i="156"/>
  <c r="BF103" i="156"/>
  <c r="BG103" i="156"/>
  <c r="AP103" i="156"/>
  <c r="AQ103" i="156"/>
  <c r="BL102" i="156"/>
  <c r="BK102" i="156"/>
  <c r="AV102" i="156"/>
  <c r="AW102" i="156"/>
  <c r="BF101" i="156"/>
  <c r="BG101" i="156"/>
  <c r="AP101" i="156"/>
  <c r="AQ101" i="156"/>
  <c r="AX92" i="156"/>
  <c r="AY92" i="156"/>
  <c r="BD91" i="156"/>
  <c r="BE91" i="156"/>
  <c r="BI88" i="156"/>
  <c r="BJ88" i="156"/>
  <c r="AU88" i="156"/>
  <c r="AT88" i="156"/>
  <c r="BG87" i="156"/>
  <c r="BF87" i="156"/>
  <c r="AQ87" i="156"/>
  <c r="AP87" i="156"/>
  <c r="BE85" i="156"/>
  <c r="BD85" i="156"/>
  <c r="BI84" i="156"/>
  <c r="BJ84" i="156"/>
  <c r="AT84" i="156"/>
  <c r="AU84" i="156"/>
  <c r="BF64" i="156"/>
  <c r="BG64" i="156"/>
  <c r="AP64" i="156"/>
  <c r="AQ64" i="156"/>
  <c r="AX63" i="156"/>
  <c r="AY63" i="156"/>
  <c r="BD62" i="156"/>
  <c r="BE62" i="156"/>
  <c r="AU61" i="156"/>
  <c r="AT61" i="156"/>
  <c r="BG59" i="156"/>
  <c r="BF59" i="156"/>
  <c r="AQ59" i="156"/>
  <c r="AP59" i="156"/>
  <c r="AX53" i="156"/>
  <c r="AY53" i="156"/>
  <c r="BD58" i="156"/>
  <c r="BE58" i="156"/>
  <c r="BI52" i="156"/>
  <c r="BJ52" i="156"/>
  <c r="AU52" i="156"/>
  <c r="AT52" i="156"/>
  <c r="BF46" i="156"/>
  <c r="BG46" i="156"/>
  <c r="AP46" i="156"/>
  <c r="AQ46" i="156"/>
  <c r="AX37" i="156"/>
  <c r="AY37" i="156"/>
  <c r="BD28" i="156"/>
  <c r="BE28" i="156"/>
  <c r="AR24" i="156"/>
  <c r="AS24" i="156"/>
  <c r="BB18" i="156"/>
  <c r="BC18" i="156"/>
  <c r="BI15" i="156"/>
  <c r="BJ15" i="156"/>
  <c r="AT15" i="156"/>
  <c r="AU15" i="156"/>
  <c r="AZ12" i="156"/>
  <c r="BA12" i="156"/>
  <c r="BG11" i="156"/>
  <c r="BF11" i="156"/>
  <c r="AQ11" i="156"/>
  <c r="AP11" i="156"/>
  <c r="AV126" i="156"/>
  <c r="BJ114" i="156"/>
  <c r="AZ107" i="156"/>
  <c r="BE102" i="156"/>
  <c r="BJ91" i="156"/>
  <c r="BG53" i="156"/>
  <c r="T111" i="156"/>
  <c r="AR102" i="156"/>
  <c r="AS102" i="156"/>
  <c r="BC101" i="156"/>
  <c r="BB101" i="156"/>
  <c r="BJ92" i="156"/>
  <c r="BI92" i="156"/>
  <c r="AT92" i="156"/>
  <c r="AU92" i="156"/>
  <c r="BA91" i="156"/>
  <c r="AZ91" i="156"/>
  <c r="BB87" i="156"/>
  <c r="BC87" i="156"/>
  <c r="BI86" i="156"/>
  <c r="BJ86" i="156"/>
  <c r="AT86" i="156"/>
  <c r="AU86" i="156"/>
  <c r="AZ85" i="156"/>
  <c r="BA85" i="156"/>
  <c r="BG84" i="156"/>
  <c r="BF84" i="156"/>
  <c r="AQ84" i="156"/>
  <c r="AP84" i="156"/>
  <c r="BC64" i="156"/>
  <c r="BB64" i="156"/>
  <c r="BJ63" i="156"/>
  <c r="BI63" i="156"/>
  <c r="BA62" i="156"/>
  <c r="AZ62" i="156"/>
  <c r="BF61" i="156"/>
  <c r="BG61" i="156"/>
  <c r="AP61" i="156"/>
  <c r="AQ61" i="156"/>
  <c r="BB59" i="156"/>
  <c r="BC59" i="156"/>
  <c r="BI53" i="156"/>
  <c r="BJ53" i="156"/>
  <c r="AT53" i="156"/>
  <c r="AU53" i="156"/>
  <c r="AZ58" i="156"/>
  <c r="BA58" i="156"/>
  <c r="BG52" i="156"/>
  <c r="BF52" i="156"/>
  <c r="BB46" i="156"/>
  <c r="BC46" i="156"/>
  <c r="BI37" i="156"/>
  <c r="BJ37" i="156"/>
  <c r="AZ28" i="156"/>
  <c r="BA28" i="156"/>
  <c r="BD24" i="156"/>
  <c r="BE24" i="156"/>
  <c r="AX18" i="156"/>
  <c r="AY18" i="156"/>
  <c r="AP15" i="156"/>
  <c r="AQ15" i="156"/>
  <c r="BL12" i="156"/>
  <c r="BK12" i="156"/>
  <c r="AV12" i="156"/>
  <c r="AW12" i="156"/>
  <c r="BC11" i="156"/>
  <c r="BB11" i="156"/>
  <c r="BK115" i="156"/>
  <c r="BB114" i="156"/>
  <c r="BG109" i="156"/>
  <c r="BL101" i="156"/>
  <c r="AT91" i="156"/>
  <c r="AY86" i="156"/>
  <c r="BI61" i="156"/>
  <c r="BK58" i="156"/>
  <c r="AU37" i="156"/>
  <c r="AZ15" i="156"/>
  <c r="BI115" i="156"/>
  <c r="BJ115" i="156"/>
  <c r="BA114" i="156"/>
  <c r="AZ114" i="156"/>
  <c r="BF111" i="156"/>
  <c r="BG111" i="156"/>
  <c r="AP111" i="156"/>
  <c r="AQ111" i="156"/>
  <c r="BB107" i="156"/>
  <c r="BC107" i="156"/>
  <c r="BI109" i="156"/>
  <c r="BJ109" i="156"/>
  <c r="AT109" i="156"/>
  <c r="AU109" i="156"/>
  <c r="AZ103" i="156"/>
  <c r="BA103" i="156"/>
  <c r="BG102" i="156"/>
  <c r="BF102" i="156"/>
  <c r="AQ102" i="156"/>
  <c r="AP102" i="156"/>
  <c r="BD88" i="156"/>
  <c r="BE88" i="156"/>
  <c r="AZ87" i="156"/>
  <c r="BA87" i="156"/>
  <c r="AS86" i="156"/>
  <c r="AR86" i="156"/>
  <c r="AX85" i="156"/>
  <c r="AY85" i="156"/>
  <c r="BD84" i="156"/>
  <c r="BE84" i="156"/>
  <c r="AZ64" i="156"/>
  <c r="BA64" i="156"/>
  <c r="AR63" i="156"/>
  <c r="AS63" i="156"/>
  <c r="AX62" i="156"/>
  <c r="AY62" i="156"/>
  <c r="BD61" i="156"/>
  <c r="BE61" i="156"/>
  <c r="AX58" i="156"/>
  <c r="AY58" i="156"/>
  <c r="BD52" i="156"/>
  <c r="BE52" i="156"/>
  <c r="AZ46" i="156"/>
  <c r="BA46" i="156"/>
  <c r="AS37" i="156"/>
  <c r="AR37" i="156"/>
  <c r="AX28" i="156"/>
  <c r="AY28" i="156"/>
  <c r="BK18" i="156"/>
  <c r="BL18" i="156"/>
  <c r="AV18" i="156"/>
  <c r="AW18" i="156"/>
  <c r="BE15" i="156"/>
  <c r="BD15" i="156"/>
  <c r="BI12" i="156"/>
  <c r="BJ12" i="156"/>
  <c r="AT12" i="156"/>
  <c r="AU12" i="156"/>
  <c r="AZ11" i="156"/>
  <c r="BA11" i="156"/>
  <c r="BE115" i="156"/>
  <c r="AQ114" i="156"/>
  <c r="AV109" i="156"/>
  <c r="BA101" i="156"/>
  <c r="BF88" i="156"/>
  <c r="BK85" i="156"/>
  <c r="AX61" i="156"/>
  <c r="AU58" i="156"/>
  <c r="BG12" i="156"/>
  <c r="AZ126" i="156"/>
  <c r="BA126" i="156"/>
  <c r="AR115" i="156"/>
  <c r="AS115" i="156"/>
  <c r="AX114" i="156"/>
  <c r="AY114" i="156"/>
  <c r="BD111" i="156"/>
  <c r="BE111" i="156"/>
  <c r="AS109" i="156"/>
  <c r="AR109" i="156"/>
  <c r="AX101" i="156"/>
  <c r="AY101" i="156"/>
  <c r="BF92" i="156"/>
  <c r="BG92" i="156"/>
  <c r="AP92" i="156"/>
  <c r="AQ92" i="156"/>
  <c r="BL91" i="156"/>
  <c r="BK91" i="156"/>
  <c r="AV91" i="156"/>
  <c r="AW91" i="156"/>
  <c r="T91" i="156"/>
  <c r="BC88" i="156"/>
  <c r="BB88" i="156"/>
  <c r="AY87" i="156"/>
  <c r="AX87" i="156"/>
  <c r="BF86" i="156"/>
  <c r="BG86" i="156"/>
  <c r="AP86" i="156"/>
  <c r="AQ86" i="156"/>
  <c r="AW85" i="156"/>
  <c r="AV85" i="156"/>
  <c r="T85" i="156"/>
  <c r="AX64" i="156"/>
  <c r="AY64" i="156"/>
  <c r="BF63" i="156"/>
  <c r="BG63" i="156"/>
  <c r="AP63" i="156"/>
  <c r="AQ63" i="156"/>
  <c r="BL62" i="156"/>
  <c r="BK62" i="156"/>
  <c r="AV62" i="156"/>
  <c r="AW62" i="156"/>
  <c r="T62" i="156"/>
  <c r="BC61" i="156"/>
  <c r="BB61" i="156"/>
  <c r="AY59" i="156"/>
  <c r="AX59" i="156"/>
  <c r="AP53" i="156"/>
  <c r="AQ53" i="156"/>
  <c r="AV58" i="156"/>
  <c r="AW58" i="156"/>
  <c r="T58" i="156"/>
  <c r="BC52" i="156"/>
  <c r="BB52" i="156"/>
  <c r="AX46" i="156"/>
  <c r="AY46" i="156"/>
  <c r="BF37" i="156"/>
  <c r="BG37" i="156"/>
  <c r="AP37" i="156"/>
  <c r="AQ37" i="156"/>
  <c r="BL28" i="156"/>
  <c r="BK28" i="156"/>
  <c r="AV28" i="156"/>
  <c r="AW28" i="156"/>
  <c r="AZ24" i="156"/>
  <c r="BA24" i="156"/>
  <c r="BJ18" i="156"/>
  <c r="BI18" i="156"/>
  <c r="AT18" i="156"/>
  <c r="AU18" i="156"/>
  <c r="S18" i="156"/>
  <c r="BB15" i="156"/>
  <c r="BC15" i="156"/>
  <c r="AR12" i="156"/>
  <c r="AS12" i="156"/>
  <c r="AY11" i="156"/>
  <c r="AX11" i="156"/>
  <c r="AQ109" i="156"/>
  <c r="AV101" i="156"/>
  <c r="BA88" i="156"/>
  <c r="AU28" i="156"/>
  <c r="AV114" i="156"/>
  <c r="AW114" i="156"/>
  <c r="BC111" i="156"/>
  <c r="BB111" i="156"/>
  <c r="AY107" i="156"/>
  <c r="AX107" i="156"/>
  <c r="BK103" i="156"/>
  <c r="BL103" i="156"/>
  <c r="AW103" i="156"/>
  <c r="AV103" i="156"/>
  <c r="BB102" i="156"/>
  <c r="BC102" i="156"/>
  <c r="BE92" i="156"/>
  <c r="BD92" i="156"/>
  <c r="BK87" i="156"/>
  <c r="BL87" i="156"/>
  <c r="BI85" i="156"/>
  <c r="BJ85" i="156"/>
  <c r="AZ84" i="156"/>
  <c r="BA84" i="156"/>
  <c r="BK64" i="156"/>
  <c r="BL64" i="156"/>
  <c r="AV64" i="156"/>
  <c r="AW64" i="156"/>
  <c r="BE63" i="156"/>
  <c r="BD63" i="156"/>
  <c r="BI62" i="156"/>
  <c r="BJ62" i="156"/>
  <c r="AT62" i="156"/>
  <c r="AU62" i="156"/>
  <c r="AZ61" i="156"/>
  <c r="BA61" i="156"/>
  <c r="BK59" i="156"/>
  <c r="BL59" i="156"/>
  <c r="AV59" i="156"/>
  <c r="AW59" i="156"/>
  <c r="BD53" i="156"/>
  <c r="BE53" i="156"/>
  <c r="BI58" i="156"/>
  <c r="BJ58" i="156"/>
  <c r="AZ52" i="156"/>
  <c r="BA52" i="156"/>
  <c r="BK46" i="156"/>
  <c r="BL46" i="156"/>
  <c r="BE37" i="156"/>
  <c r="BD37" i="156"/>
  <c r="BI28" i="156"/>
  <c r="BJ28" i="156"/>
  <c r="AR18" i="156"/>
  <c r="AS18" i="156"/>
  <c r="AP12" i="156"/>
  <c r="AQ12" i="156"/>
  <c r="BK11" i="156"/>
  <c r="BL11" i="156"/>
  <c r="AV11" i="156"/>
  <c r="AW11" i="156"/>
  <c r="AW115" i="156"/>
  <c r="BC103" i="156"/>
  <c r="AP88" i="156"/>
  <c r="AU85" i="156"/>
  <c r="BB24" i="156"/>
  <c r="BJ11" i="156"/>
  <c r="AT114" i="156"/>
  <c r="AU114" i="156"/>
  <c r="AZ111" i="156"/>
  <c r="BA111" i="156"/>
  <c r="BK107" i="156"/>
  <c r="BL107" i="156"/>
  <c r="AV107" i="156"/>
  <c r="AW107" i="156"/>
  <c r="BD109" i="156"/>
  <c r="BE109" i="156"/>
  <c r="BI103" i="156"/>
  <c r="BJ103" i="156"/>
  <c r="AT103" i="156"/>
  <c r="AU103" i="156"/>
  <c r="AZ102" i="156"/>
  <c r="BA102" i="156"/>
  <c r="BI101" i="156"/>
  <c r="BJ101" i="156"/>
  <c r="AU101" i="156"/>
  <c r="AT101" i="156"/>
  <c r="AS91" i="156"/>
  <c r="AR91" i="156"/>
  <c r="AX88" i="156"/>
  <c r="AY88" i="156"/>
  <c r="BJ87" i="156"/>
  <c r="BI87" i="156"/>
  <c r="AT87" i="156"/>
  <c r="AU87" i="156"/>
  <c r="BB86" i="156"/>
  <c r="BC86" i="156"/>
  <c r="AR85" i="156"/>
  <c r="AS85" i="156"/>
  <c r="AY84" i="156"/>
  <c r="AX84" i="156"/>
  <c r="AU64" i="156"/>
  <c r="AT64" i="156"/>
  <c r="BB63" i="156"/>
  <c r="BC63" i="156"/>
  <c r="AS62" i="156"/>
  <c r="AR62" i="156"/>
  <c r="BJ59" i="156"/>
  <c r="BI59" i="156"/>
  <c r="AT59" i="156"/>
  <c r="AU59" i="156"/>
  <c r="BB53" i="156"/>
  <c r="BC53" i="156"/>
  <c r="AR58" i="156"/>
  <c r="AS58" i="156"/>
  <c r="AY52" i="156"/>
  <c r="AX52" i="156"/>
  <c r="BJ46" i="156"/>
  <c r="BI46" i="156"/>
  <c r="AT46" i="156"/>
  <c r="AU46" i="156"/>
  <c r="BB37" i="156"/>
  <c r="BC37" i="156"/>
  <c r="AR28" i="156"/>
  <c r="AS28" i="156"/>
  <c r="BK24" i="156"/>
  <c r="BL24" i="156"/>
  <c r="AV24" i="156"/>
  <c r="AW24" i="156"/>
  <c r="BF18" i="156"/>
  <c r="BG18" i="156"/>
  <c r="AP18" i="156"/>
  <c r="AQ18" i="156"/>
  <c r="AX15" i="156"/>
  <c r="AY15" i="156"/>
  <c r="BD12" i="156"/>
  <c r="BE12" i="156"/>
  <c r="AU11" i="156"/>
  <c r="AT11" i="156"/>
  <c r="BD126" i="156"/>
  <c r="AU115" i="156"/>
  <c r="AS111" i="156"/>
  <c r="AX103" i="156"/>
  <c r="BC92" i="156"/>
  <c r="AU63" i="156"/>
  <c r="AZ59" i="156"/>
  <c r="AP52" i="156"/>
  <c r="AX24" i="156"/>
  <c r="T28" i="156"/>
  <c r="T115" i="156"/>
  <c r="T92" i="156"/>
  <c r="T63" i="156"/>
  <c r="T37" i="156"/>
  <c r="T136" i="156"/>
  <c r="T109" i="156"/>
  <c r="T86" i="156"/>
  <c r="T53" i="156"/>
  <c r="T15" i="156"/>
  <c r="G17" i="183"/>
  <c r="G14" i="183" l="1"/>
  <c r="G19" i="183"/>
  <c r="G20" i="183"/>
  <c r="G16" i="183"/>
  <c r="R54" i="55" l="1"/>
  <c r="C54" i="78"/>
  <c r="O54" i="55"/>
  <c r="V28" i="156" s="1"/>
  <c r="P54" i="55"/>
  <c r="W28" i="156" s="1"/>
  <c r="Q54" i="55"/>
  <c r="Y28" i="156" s="1"/>
  <c r="Z28" i="156" s="1"/>
  <c r="X28" i="156" l="1"/>
  <c r="AA28" i="156" s="1"/>
  <c r="E4" i="95"/>
  <c r="D18" i="180" l="1"/>
  <c r="D16" i="180"/>
  <c r="E6" i="180"/>
  <c r="D6" i="180"/>
  <c r="L7" i="180" l="1"/>
  <c r="E46" i="180"/>
  <c r="D46" i="180"/>
  <c r="E44" i="180"/>
  <c r="D44" i="180"/>
  <c r="E42" i="180"/>
  <c r="D42" i="180"/>
  <c r="E40" i="180"/>
  <c r="D40" i="180"/>
  <c r="E38" i="180"/>
  <c r="D38" i="180"/>
  <c r="E36" i="180"/>
  <c r="D36" i="180"/>
  <c r="E32" i="180"/>
  <c r="D32" i="180"/>
  <c r="E30" i="180"/>
  <c r="D30" i="180"/>
  <c r="E24" i="180"/>
  <c r="D24" i="180"/>
  <c r="E22" i="180"/>
  <c r="D22" i="180"/>
  <c r="E18" i="180"/>
  <c r="E16" i="180"/>
  <c r="E26" i="180" s="1"/>
  <c r="E12" i="180"/>
  <c r="D12" i="180"/>
  <c r="E10" i="180"/>
  <c r="D10" i="180"/>
  <c r="E8" i="180"/>
  <c r="D8" i="180"/>
  <c r="L23" i="180" l="1"/>
  <c r="E49" i="180"/>
  <c r="D49" i="180"/>
  <c r="E50" i="180" l="1"/>
  <c r="O46" i="55" l="1"/>
  <c r="P46" i="55"/>
  <c r="Q46" i="55"/>
  <c r="R46" i="55"/>
  <c r="O45" i="55"/>
  <c r="O55" i="55"/>
  <c r="P55" i="55"/>
  <c r="Q55" i="55"/>
  <c r="R55" i="55"/>
  <c r="O147" i="55"/>
  <c r="P147" i="55"/>
  <c r="Q147" i="55"/>
  <c r="R147" i="55"/>
  <c r="R125" i="55"/>
  <c r="Q125" i="55"/>
  <c r="P125" i="55"/>
  <c r="O125" i="55"/>
  <c r="R126" i="55"/>
  <c r="Q126" i="55"/>
  <c r="Y88" i="156" s="1"/>
  <c r="Z88" i="156" s="1"/>
  <c r="P126" i="55"/>
  <c r="W88" i="156" s="1"/>
  <c r="O126" i="55"/>
  <c r="V88" i="156" s="1"/>
  <c r="R105" i="55"/>
  <c r="Q105" i="55"/>
  <c r="Y86" i="156" s="1"/>
  <c r="Z86" i="156" s="1"/>
  <c r="P105" i="55"/>
  <c r="W86" i="156" s="1"/>
  <c r="O105" i="55"/>
  <c r="V86" i="156" s="1"/>
  <c r="C125" i="78"/>
  <c r="C126" i="78"/>
  <c r="C105" i="78"/>
  <c r="C55" i="78"/>
  <c r="C46" i="78"/>
  <c r="O30" i="55"/>
  <c r="P30" i="55"/>
  <c r="Q30" i="55"/>
  <c r="R30" i="55"/>
  <c r="O31" i="55"/>
  <c r="P31" i="55"/>
  <c r="Q31" i="55"/>
  <c r="R31" i="55"/>
  <c r="O32" i="55"/>
  <c r="P32" i="55"/>
  <c r="Q32" i="55"/>
  <c r="R32" i="55"/>
  <c r="C30" i="78"/>
  <c r="C31" i="78"/>
  <c r="C32" i="78"/>
  <c r="C22" i="78"/>
  <c r="R22" i="55"/>
  <c r="Q22" i="55"/>
  <c r="P22" i="55"/>
  <c r="O22" i="55"/>
  <c r="C168" i="78"/>
  <c r="O168" i="55"/>
  <c r="P168" i="55"/>
  <c r="Q168" i="55"/>
  <c r="R168" i="55"/>
  <c r="C155" i="78"/>
  <c r="O155" i="55"/>
  <c r="P155" i="55"/>
  <c r="Q155" i="55"/>
  <c r="R155" i="55"/>
  <c r="X88" i="156" l="1"/>
  <c r="AA88" i="156" s="1"/>
  <c r="X86" i="156"/>
  <c r="AA86" i="156" s="1"/>
  <c r="O202" i="55"/>
  <c r="P202" i="55"/>
  <c r="Q202" i="55"/>
  <c r="R202" i="55"/>
  <c r="O203" i="55"/>
  <c r="P203" i="55"/>
  <c r="Q203" i="55"/>
  <c r="R203" i="55"/>
  <c r="O169" i="55"/>
  <c r="P169" i="55"/>
  <c r="Q169" i="55"/>
  <c r="R169" i="55"/>
  <c r="O170" i="55"/>
  <c r="P170" i="55"/>
  <c r="Q170" i="55"/>
  <c r="R170" i="55"/>
  <c r="L27" i="180" l="1"/>
  <c r="C202" i="78"/>
  <c r="C203" i="78"/>
  <c r="C169" i="78" l="1"/>
  <c r="C170" i="78"/>
  <c r="R31" i="156" l="1"/>
  <c r="S31" i="156" s="1"/>
  <c r="U31" i="156"/>
  <c r="AB31" i="156"/>
  <c r="AC31" i="156"/>
  <c r="AD31" i="156"/>
  <c r="AE31" i="156"/>
  <c r="AF31" i="156"/>
  <c r="AG31" i="156"/>
  <c r="AH31" i="156"/>
  <c r="AI31" i="156"/>
  <c r="AJ31" i="156"/>
  <c r="AK31" i="156"/>
  <c r="AL31" i="156"/>
  <c r="AM31" i="156"/>
  <c r="B31" i="156"/>
  <c r="AM137" i="156"/>
  <c r="AL137" i="156"/>
  <c r="AK137" i="156"/>
  <c r="AJ137" i="156"/>
  <c r="AI137" i="156"/>
  <c r="AH137" i="156"/>
  <c r="AG137" i="156"/>
  <c r="AF137" i="156"/>
  <c r="AE137" i="156"/>
  <c r="AD137" i="156"/>
  <c r="AC137" i="156"/>
  <c r="AB137" i="156"/>
  <c r="U137" i="156"/>
  <c r="R137" i="156"/>
  <c r="T137" i="156" s="1"/>
  <c r="Q137" i="156"/>
  <c r="B137" i="156"/>
  <c r="AP31" i="156" l="1"/>
  <c r="BD31" i="156"/>
  <c r="AV31" i="156"/>
  <c r="BK31" i="156"/>
  <c r="BB31" i="156"/>
  <c r="AT31" i="156"/>
  <c r="BI31" i="156"/>
  <c r="BH31" i="156"/>
  <c r="AZ31" i="156"/>
  <c r="AR31" i="156"/>
  <c r="Q31" i="156"/>
  <c r="BF31" i="156"/>
  <c r="AX31" i="156"/>
  <c r="T31" i="156"/>
  <c r="BJ137" i="156"/>
  <c r="BG137" i="156"/>
  <c r="AY137" i="156"/>
  <c r="AQ137" i="156"/>
  <c r="BC137" i="156"/>
  <c r="BA137" i="156"/>
  <c r="AS137" i="156"/>
  <c r="BE137" i="156"/>
  <c r="AW137" i="156"/>
  <c r="BL137" i="156"/>
  <c r="AU137" i="156"/>
  <c r="BH137" i="156"/>
  <c r="BI137" i="156"/>
  <c r="AT137" i="156"/>
  <c r="BB137" i="156"/>
  <c r="BK137" i="156"/>
  <c r="AV137" i="156"/>
  <c r="BD137" i="156"/>
  <c r="AP137" i="156"/>
  <c r="AX137" i="156"/>
  <c r="BF137" i="156"/>
  <c r="AR137" i="156"/>
  <c r="AZ137" i="156"/>
  <c r="S137" i="156"/>
  <c r="AM23" i="156"/>
  <c r="AL23" i="156"/>
  <c r="AK23" i="156"/>
  <c r="AJ23" i="156"/>
  <c r="AI23" i="156"/>
  <c r="AH23" i="156"/>
  <c r="AG23" i="156"/>
  <c r="AF23" i="156"/>
  <c r="AE23" i="156"/>
  <c r="AD23" i="156"/>
  <c r="AC23" i="156"/>
  <c r="AB23" i="156"/>
  <c r="U23" i="156"/>
  <c r="R23" i="156"/>
  <c r="T23" i="156" s="1"/>
  <c r="B23" i="156"/>
  <c r="AQ31" i="156" l="1"/>
  <c r="AY31" i="156"/>
  <c r="BG31" i="156"/>
  <c r="AS31" i="156"/>
  <c r="BA31" i="156"/>
  <c r="BJ31" i="156"/>
  <c r="AU31" i="156"/>
  <c r="BC31" i="156"/>
  <c r="BL31" i="156"/>
  <c r="AW31" i="156"/>
  <c r="BE31" i="156"/>
  <c r="BD23" i="156"/>
  <c r="AR23" i="156"/>
  <c r="AZ23" i="156"/>
  <c r="BH23" i="156"/>
  <c r="S23" i="156"/>
  <c r="BI23" i="156"/>
  <c r="AP23" i="156"/>
  <c r="AX23" i="156"/>
  <c r="BF23" i="156"/>
  <c r="Q23" i="156"/>
  <c r="AT23" i="156"/>
  <c r="BB23" i="156"/>
  <c r="BK23" i="156"/>
  <c r="AV23" i="156"/>
  <c r="BL23" i="156" l="1"/>
  <c r="BC23" i="156"/>
  <c r="AU23" i="156"/>
  <c r="BJ23" i="156"/>
  <c r="BA23" i="156"/>
  <c r="AS23" i="156"/>
  <c r="BG23" i="156"/>
  <c r="AY23" i="156"/>
  <c r="AQ23" i="156"/>
  <c r="BE23" i="156"/>
  <c r="AW23" i="156"/>
  <c r="G13" i="70" l="1"/>
  <c r="I13" i="70" s="1"/>
  <c r="J13" i="70"/>
  <c r="K13" i="70" s="1"/>
  <c r="L13" i="70"/>
  <c r="M13" i="70" s="1"/>
  <c r="D13" i="70"/>
  <c r="E13" i="70"/>
  <c r="B13" i="70"/>
  <c r="C132" i="78"/>
  <c r="N13" i="70"/>
  <c r="O13" i="70"/>
  <c r="P13" i="70"/>
  <c r="Q13" i="70" l="1"/>
  <c r="T13" i="70"/>
  <c r="H13" i="70"/>
  <c r="R13" i="70" l="1"/>
  <c r="S13" i="70" s="1"/>
  <c r="AM17" i="156" l="1"/>
  <c r="BK17" i="156" s="1"/>
  <c r="AL17" i="156"/>
  <c r="BI17" i="156" s="1"/>
  <c r="AK17" i="156"/>
  <c r="BH17" i="156" s="1"/>
  <c r="AJ17" i="156"/>
  <c r="BF17" i="156" s="1"/>
  <c r="AI17" i="156"/>
  <c r="BD17" i="156" s="1"/>
  <c r="AH17" i="156"/>
  <c r="BB17" i="156" s="1"/>
  <c r="AG17" i="156"/>
  <c r="AZ17" i="156" s="1"/>
  <c r="AF17" i="156"/>
  <c r="AX17" i="156" s="1"/>
  <c r="AE17" i="156"/>
  <c r="AV17" i="156" s="1"/>
  <c r="AD17" i="156"/>
  <c r="AT17" i="156" s="1"/>
  <c r="AC17" i="156"/>
  <c r="AR17" i="156" s="1"/>
  <c r="AB17" i="156"/>
  <c r="AP17" i="156" s="1"/>
  <c r="U17" i="156"/>
  <c r="R17" i="156"/>
  <c r="T17" i="156" s="1"/>
  <c r="Q17" i="156"/>
  <c r="B17" i="156"/>
  <c r="BL17" i="156" l="1"/>
  <c r="S17" i="156"/>
  <c r="AW17" i="156"/>
  <c r="AQ17" i="156"/>
  <c r="AY17" i="156"/>
  <c r="BG17" i="156"/>
  <c r="BE17" i="156"/>
  <c r="AS17" i="156"/>
  <c r="BA17" i="156"/>
  <c r="BJ17" i="156"/>
  <c r="AU17" i="156"/>
  <c r="BC17" i="156"/>
  <c r="C14" i="3"/>
  <c r="O183" i="55" l="1"/>
  <c r="P183" i="55"/>
  <c r="Q183" i="55"/>
  <c r="R183" i="55"/>
  <c r="C183" i="78"/>
  <c r="O182" i="55"/>
  <c r="P182" i="55"/>
  <c r="Q182" i="55"/>
  <c r="R182" i="55"/>
  <c r="C182" i="78"/>
  <c r="O149" i="55" l="1"/>
  <c r="P149" i="55"/>
  <c r="Q149" i="55"/>
  <c r="R149" i="55"/>
  <c r="C149" i="78"/>
  <c r="C147" i="78"/>
  <c r="O146" i="55" l="1"/>
  <c r="P146" i="55"/>
  <c r="Q146" i="55"/>
  <c r="R146" i="55"/>
  <c r="C146" i="78"/>
  <c r="O145" i="55"/>
  <c r="P145" i="55"/>
  <c r="Q145" i="55"/>
  <c r="R145" i="55"/>
  <c r="C145" i="78"/>
  <c r="O144" i="55"/>
  <c r="P144" i="55"/>
  <c r="Q144" i="55"/>
  <c r="R144" i="55"/>
  <c r="C144" i="78"/>
  <c r="O143" i="55"/>
  <c r="P143" i="55"/>
  <c r="Q143" i="55"/>
  <c r="R143" i="55"/>
  <c r="C143" i="78"/>
  <c r="O124" i="55"/>
  <c r="V87" i="156" s="1"/>
  <c r="P124" i="55"/>
  <c r="W87" i="156" s="1"/>
  <c r="Q124" i="55"/>
  <c r="Y87" i="156" s="1"/>
  <c r="Z87" i="156" s="1"/>
  <c r="R124" i="55"/>
  <c r="C124" i="78"/>
  <c r="O121" i="55"/>
  <c r="P121" i="55"/>
  <c r="Q121" i="55"/>
  <c r="R121" i="55"/>
  <c r="C121" i="78"/>
  <c r="O104" i="55"/>
  <c r="V18" i="156" s="1"/>
  <c r="P104" i="55"/>
  <c r="W18" i="156" s="1"/>
  <c r="Q104" i="55"/>
  <c r="Y18" i="156" s="1"/>
  <c r="Z18" i="156" s="1"/>
  <c r="R104" i="55"/>
  <c r="C104" i="78"/>
  <c r="O97" i="55"/>
  <c r="P97" i="55"/>
  <c r="Q97" i="55"/>
  <c r="R97" i="55"/>
  <c r="C97" i="78"/>
  <c r="O77" i="55"/>
  <c r="V11" i="156" s="1"/>
  <c r="P77" i="55"/>
  <c r="W11" i="156" s="1"/>
  <c r="Q77" i="55"/>
  <c r="Y11" i="156" s="1"/>
  <c r="Z11" i="156" s="1"/>
  <c r="R77" i="55"/>
  <c r="C77" i="78"/>
  <c r="O49" i="55"/>
  <c r="V24" i="156" s="1"/>
  <c r="P49" i="55"/>
  <c r="W24" i="156" s="1"/>
  <c r="Q49" i="55"/>
  <c r="Y24" i="156" s="1"/>
  <c r="Z24" i="156" s="1"/>
  <c r="R49" i="55"/>
  <c r="C49" i="78"/>
  <c r="O41" i="55"/>
  <c r="P41" i="55"/>
  <c r="Q41" i="55"/>
  <c r="R41" i="55"/>
  <c r="C41" i="78"/>
  <c r="O36" i="55"/>
  <c r="P36" i="55"/>
  <c r="Q36" i="55"/>
  <c r="R36" i="55"/>
  <c r="C36" i="78"/>
  <c r="O27" i="55"/>
  <c r="P27" i="55"/>
  <c r="Q27" i="55"/>
  <c r="R27" i="55"/>
  <c r="O34" i="55"/>
  <c r="P34" i="55"/>
  <c r="Q34" i="55"/>
  <c r="R34" i="55"/>
  <c r="C27" i="78"/>
  <c r="O26" i="55"/>
  <c r="P26" i="55"/>
  <c r="Q26" i="55"/>
  <c r="R26" i="55"/>
  <c r="C26" i="78"/>
  <c r="O14" i="55"/>
  <c r="P14" i="55"/>
  <c r="Q14" i="55"/>
  <c r="R14" i="55"/>
  <c r="C14" i="78"/>
  <c r="O8" i="55"/>
  <c r="P8" i="55"/>
  <c r="Q8" i="55"/>
  <c r="R8" i="55"/>
  <c r="C8" i="78"/>
  <c r="AB138" i="156"/>
  <c r="AP138" i="156" s="1"/>
  <c r="AC138" i="156"/>
  <c r="AR138" i="156" s="1"/>
  <c r="AD138" i="156"/>
  <c r="AT138" i="156" s="1"/>
  <c r="AE138" i="156"/>
  <c r="AV138" i="156" s="1"/>
  <c r="AF138" i="156"/>
  <c r="AX138" i="156" s="1"/>
  <c r="AG138" i="156"/>
  <c r="AZ138" i="156" s="1"/>
  <c r="AH138" i="156"/>
  <c r="BB138" i="156" s="1"/>
  <c r="AI138" i="156"/>
  <c r="BD138" i="156" s="1"/>
  <c r="AJ138" i="156"/>
  <c r="BF138" i="156" s="1"/>
  <c r="AK138" i="156"/>
  <c r="BH138" i="156" s="1"/>
  <c r="AL138" i="156"/>
  <c r="BI138" i="156" s="1"/>
  <c r="AM138" i="156"/>
  <c r="BK138" i="156" s="1"/>
  <c r="AB89" i="156"/>
  <c r="AP89" i="156" s="1"/>
  <c r="AC89" i="156"/>
  <c r="AR89" i="156" s="1"/>
  <c r="AD89" i="156"/>
  <c r="AT89" i="156" s="1"/>
  <c r="AE89" i="156"/>
  <c r="AV89" i="156" s="1"/>
  <c r="AF89" i="156"/>
  <c r="AX89" i="156" s="1"/>
  <c r="AG89" i="156"/>
  <c r="AZ89" i="156" s="1"/>
  <c r="AH89" i="156"/>
  <c r="BB89" i="156" s="1"/>
  <c r="AI89" i="156"/>
  <c r="BD89" i="156" s="1"/>
  <c r="AJ89" i="156"/>
  <c r="BF89" i="156" s="1"/>
  <c r="AK89" i="156"/>
  <c r="BH89" i="156" s="1"/>
  <c r="AL89" i="156"/>
  <c r="BI89" i="156" s="1"/>
  <c r="AM89" i="156"/>
  <c r="BK89" i="156" s="1"/>
  <c r="AB112" i="156"/>
  <c r="AP112" i="156" s="1"/>
  <c r="AC112" i="156"/>
  <c r="AR112" i="156" s="1"/>
  <c r="AD112" i="156"/>
  <c r="AT112" i="156" s="1"/>
  <c r="AE112" i="156"/>
  <c r="AV112" i="156" s="1"/>
  <c r="AF112" i="156"/>
  <c r="AX112" i="156" s="1"/>
  <c r="AG112" i="156"/>
  <c r="AZ112" i="156" s="1"/>
  <c r="AH112" i="156"/>
  <c r="BB112" i="156" s="1"/>
  <c r="AI112" i="156"/>
  <c r="BD112" i="156" s="1"/>
  <c r="AJ112" i="156"/>
  <c r="BF112" i="156" s="1"/>
  <c r="AK112" i="156"/>
  <c r="BH112" i="156" s="1"/>
  <c r="AL112" i="156"/>
  <c r="BI112" i="156" s="1"/>
  <c r="AM112" i="156"/>
  <c r="BK112" i="156" s="1"/>
  <c r="AB90" i="156"/>
  <c r="AP90" i="156" s="1"/>
  <c r="AC90" i="156"/>
  <c r="AR90" i="156" s="1"/>
  <c r="AD90" i="156"/>
  <c r="AT90" i="156" s="1"/>
  <c r="AE90" i="156"/>
  <c r="AV90" i="156" s="1"/>
  <c r="AF90" i="156"/>
  <c r="AX90" i="156" s="1"/>
  <c r="AG90" i="156"/>
  <c r="AZ90" i="156" s="1"/>
  <c r="AH90" i="156"/>
  <c r="BB90" i="156" s="1"/>
  <c r="AI90" i="156"/>
  <c r="BD90" i="156" s="1"/>
  <c r="AJ90" i="156"/>
  <c r="BF90" i="156" s="1"/>
  <c r="AK90" i="156"/>
  <c r="BH90" i="156" s="1"/>
  <c r="AL90" i="156"/>
  <c r="BI90" i="156" s="1"/>
  <c r="AM90" i="156"/>
  <c r="BK90" i="156" s="1"/>
  <c r="AB100" i="156"/>
  <c r="AP100" i="156" s="1"/>
  <c r="AC100" i="156"/>
  <c r="AR100" i="156" s="1"/>
  <c r="AD100" i="156"/>
  <c r="AT100" i="156" s="1"/>
  <c r="AE100" i="156"/>
  <c r="AV100" i="156" s="1"/>
  <c r="AF100" i="156"/>
  <c r="AX100" i="156" s="1"/>
  <c r="AG100" i="156"/>
  <c r="AZ100" i="156" s="1"/>
  <c r="AH100" i="156"/>
  <c r="BB100" i="156" s="1"/>
  <c r="AI100" i="156"/>
  <c r="BD100" i="156" s="1"/>
  <c r="AJ100" i="156"/>
  <c r="BF100" i="156" s="1"/>
  <c r="AK100" i="156"/>
  <c r="BH100" i="156" s="1"/>
  <c r="AL100" i="156"/>
  <c r="BI100" i="156" s="1"/>
  <c r="AM100" i="156"/>
  <c r="BK100" i="156" s="1"/>
  <c r="AB47" i="156"/>
  <c r="AP47" i="156" s="1"/>
  <c r="AC47" i="156"/>
  <c r="AR47" i="156" s="1"/>
  <c r="AD47" i="156"/>
  <c r="AT47" i="156" s="1"/>
  <c r="AE47" i="156"/>
  <c r="AV47" i="156" s="1"/>
  <c r="AF47" i="156"/>
  <c r="AX47" i="156" s="1"/>
  <c r="AG47" i="156"/>
  <c r="AZ47" i="156" s="1"/>
  <c r="AH47" i="156"/>
  <c r="BB47" i="156" s="1"/>
  <c r="AI47" i="156"/>
  <c r="BD47" i="156" s="1"/>
  <c r="AJ47" i="156"/>
  <c r="BF47" i="156" s="1"/>
  <c r="AK47" i="156"/>
  <c r="BH47" i="156" s="1"/>
  <c r="AL47" i="156"/>
  <c r="BI47" i="156" s="1"/>
  <c r="AM47" i="156"/>
  <c r="BK47" i="156" s="1"/>
  <c r="AB8" i="156"/>
  <c r="AP8" i="156" s="1"/>
  <c r="AC8" i="156"/>
  <c r="AR8" i="156" s="1"/>
  <c r="AD8" i="156"/>
  <c r="AT8" i="156" s="1"/>
  <c r="AE8" i="156"/>
  <c r="AV8" i="156" s="1"/>
  <c r="AF8" i="156"/>
  <c r="AX8" i="156" s="1"/>
  <c r="AG8" i="156"/>
  <c r="AZ8" i="156" s="1"/>
  <c r="AH8" i="156"/>
  <c r="BB8" i="156" s="1"/>
  <c r="AI8" i="156"/>
  <c r="BD8" i="156" s="1"/>
  <c r="AJ8" i="156"/>
  <c r="BF8" i="156" s="1"/>
  <c r="AK8" i="156"/>
  <c r="BH8" i="156" s="1"/>
  <c r="AL8" i="156"/>
  <c r="BI8" i="156" s="1"/>
  <c r="AM8" i="156"/>
  <c r="BK8" i="156" s="1"/>
  <c r="AB68" i="156"/>
  <c r="AP68" i="156" s="1"/>
  <c r="AC68" i="156"/>
  <c r="AR68" i="156" s="1"/>
  <c r="AD68" i="156"/>
  <c r="AT68" i="156" s="1"/>
  <c r="AE68" i="156"/>
  <c r="AV68" i="156" s="1"/>
  <c r="AF68" i="156"/>
  <c r="AX68" i="156" s="1"/>
  <c r="AG68" i="156"/>
  <c r="AZ68" i="156" s="1"/>
  <c r="AH68" i="156"/>
  <c r="BB68" i="156" s="1"/>
  <c r="AI68" i="156"/>
  <c r="BD68" i="156" s="1"/>
  <c r="AJ68" i="156"/>
  <c r="BF68" i="156" s="1"/>
  <c r="AK68" i="156"/>
  <c r="BH68" i="156" s="1"/>
  <c r="AL68" i="156"/>
  <c r="BI68" i="156" s="1"/>
  <c r="AM68" i="156"/>
  <c r="BK68" i="156" s="1"/>
  <c r="AB82" i="156"/>
  <c r="AP82" i="156" s="1"/>
  <c r="AC82" i="156"/>
  <c r="AR82" i="156" s="1"/>
  <c r="AD82" i="156"/>
  <c r="AT82" i="156" s="1"/>
  <c r="AE82" i="156"/>
  <c r="AV82" i="156" s="1"/>
  <c r="AF82" i="156"/>
  <c r="AX82" i="156" s="1"/>
  <c r="AG82" i="156"/>
  <c r="AZ82" i="156" s="1"/>
  <c r="AH82" i="156"/>
  <c r="BB82" i="156" s="1"/>
  <c r="AI82" i="156"/>
  <c r="BD82" i="156" s="1"/>
  <c r="AJ82" i="156"/>
  <c r="BF82" i="156" s="1"/>
  <c r="AK82" i="156"/>
  <c r="BH82" i="156" s="1"/>
  <c r="AL82" i="156"/>
  <c r="BI82" i="156" s="1"/>
  <c r="AM82" i="156"/>
  <c r="BK82" i="156" s="1"/>
  <c r="AB2" i="156"/>
  <c r="AP2" i="156" s="1"/>
  <c r="AC2" i="156"/>
  <c r="AR2" i="156" s="1"/>
  <c r="AD2" i="156"/>
  <c r="AT2" i="156" s="1"/>
  <c r="AE2" i="156"/>
  <c r="AV2" i="156" s="1"/>
  <c r="AF2" i="156"/>
  <c r="AX2" i="156" s="1"/>
  <c r="AG2" i="156"/>
  <c r="AZ2" i="156" s="1"/>
  <c r="AH2" i="156"/>
  <c r="BB2" i="156" s="1"/>
  <c r="AI2" i="156"/>
  <c r="BD2" i="156" s="1"/>
  <c r="AJ2" i="156"/>
  <c r="BF2" i="156" s="1"/>
  <c r="AK2" i="156"/>
  <c r="BH2" i="156" s="1"/>
  <c r="AL2" i="156"/>
  <c r="BI2" i="156" s="1"/>
  <c r="AM2" i="156"/>
  <c r="BK2" i="156" s="1"/>
  <c r="AB6" i="156"/>
  <c r="AP6" i="156" s="1"/>
  <c r="AC6" i="156"/>
  <c r="AR6" i="156" s="1"/>
  <c r="AD6" i="156"/>
  <c r="AT6" i="156" s="1"/>
  <c r="AE6" i="156"/>
  <c r="AV6" i="156" s="1"/>
  <c r="AF6" i="156"/>
  <c r="AX6" i="156" s="1"/>
  <c r="AG6" i="156"/>
  <c r="AZ6" i="156" s="1"/>
  <c r="AH6" i="156"/>
  <c r="BB6" i="156" s="1"/>
  <c r="AI6" i="156"/>
  <c r="BD6" i="156" s="1"/>
  <c r="AJ6" i="156"/>
  <c r="BF6" i="156" s="1"/>
  <c r="AK6" i="156"/>
  <c r="BH6" i="156" s="1"/>
  <c r="AL6" i="156"/>
  <c r="BI6" i="156" s="1"/>
  <c r="AM6" i="156"/>
  <c r="BK6" i="156" s="1"/>
  <c r="AB3" i="156"/>
  <c r="AP3" i="156" s="1"/>
  <c r="AC3" i="156"/>
  <c r="AR3" i="156" s="1"/>
  <c r="AD3" i="156"/>
  <c r="AT3" i="156" s="1"/>
  <c r="AE3" i="156"/>
  <c r="AV3" i="156" s="1"/>
  <c r="AF3" i="156"/>
  <c r="AX3" i="156" s="1"/>
  <c r="AG3" i="156"/>
  <c r="AZ3" i="156" s="1"/>
  <c r="AH3" i="156"/>
  <c r="BB3" i="156" s="1"/>
  <c r="AI3" i="156"/>
  <c r="BD3" i="156" s="1"/>
  <c r="AJ3" i="156"/>
  <c r="BF3" i="156" s="1"/>
  <c r="AK3" i="156"/>
  <c r="BH3" i="156" s="1"/>
  <c r="AL3" i="156"/>
  <c r="BI3" i="156" s="1"/>
  <c r="AM3" i="156"/>
  <c r="BK3" i="156" s="1"/>
  <c r="AB9" i="156"/>
  <c r="AP9" i="156" s="1"/>
  <c r="AC9" i="156"/>
  <c r="AR9" i="156" s="1"/>
  <c r="AD9" i="156"/>
  <c r="AT9" i="156" s="1"/>
  <c r="AE9" i="156"/>
  <c r="AV9" i="156" s="1"/>
  <c r="AF9" i="156"/>
  <c r="AX9" i="156" s="1"/>
  <c r="AG9" i="156"/>
  <c r="AZ9" i="156" s="1"/>
  <c r="AH9" i="156"/>
  <c r="BB9" i="156" s="1"/>
  <c r="AI9" i="156"/>
  <c r="BD9" i="156" s="1"/>
  <c r="AJ9" i="156"/>
  <c r="BF9" i="156" s="1"/>
  <c r="AK9" i="156"/>
  <c r="BH9" i="156" s="1"/>
  <c r="AL9" i="156"/>
  <c r="BI9" i="156" s="1"/>
  <c r="AM9" i="156"/>
  <c r="BK9" i="156" s="1"/>
  <c r="AB5" i="156"/>
  <c r="AP5" i="156" s="1"/>
  <c r="AC5" i="156"/>
  <c r="AR5" i="156" s="1"/>
  <c r="AD5" i="156"/>
  <c r="AT5" i="156" s="1"/>
  <c r="AE5" i="156"/>
  <c r="AV5" i="156" s="1"/>
  <c r="AF5" i="156"/>
  <c r="AX5" i="156" s="1"/>
  <c r="AG5" i="156"/>
  <c r="AZ5" i="156" s="1"/>
  <c r="AH5" i="156"/>
  <c r="BB5" i="156" s="1"/>
  <c r="AI5" i="156"/>
  <c r="BD5" i="156" s="1"/>
  <c r="AJ5" i="156"/>
  <c r="BF5" i="156" s="1"/>
  <c r="AK5" i="156"/>
  <c r="BH5" i="156" s="1"/>
  <c r="AL5" i="156"/>
  <c r="BI5" i="156" s="1"/>
  <c r="AM5" i="156"/>
  <c r="BK5" i="156" s="1"/>
  <c r="AB25" i="156"/>
  <c r="AP25" i="156" s="1"/>
  <c r="AC25" i="156"/>
  <c r="AR25" i="156" s="1"/>
  <c r="AD25" i="156"/>
  <c r="AT25" i="156" s="1"/>
  <c r="AE25" i="156"/>
  <c r="AV25" i="156" s="1"/>
  <c r="AF25" i="156"/>
  <c r="AX25" i="156" s="1"/>
  <c r="AG25" i="156"/>
  <c r="AZ25" i="156" s="1"/>
  <c r="AH25" i="156"/>
  <c r="BB25" i="156" s="1"/>
  <c r="AI25" i="156"/>
  <c r="BD25" i="156" s="1"/>
  <c r="AJ25" i="156"/>
  <c r="BF25" i="156" s="1"/>
  <c r="AK25" i="156"/>
  <c r="BH25" i="156" s="1"/>
  <c r="AL25" i="156"/>
  <c r="BI25" i="156" s="1"/>
  <c r="AM25" i="156"/>
  <c r="BK25" i="156" s="1"/>
  <c r="AB60" i="156"/>
  <c r="AP60" i="156" s="1"/>
  <c r="AC60" i="156"/>
  <c r="AR60" i="156" s="1"/>
  <c r="AD60" i="156"/>
  <c r="AT60" i="156" s="1"/>
  <c r="AE60" i="156"/>
  <c r="AV60" i="156" s="1"/>
  <c r="AF60" i="156"/>
  <c r="AX60" i="156" s="1"/>
  <c r="AG60" i="156"/>
  <c r="AZ60" i="156" s="1"/>
  <c r="AH60" i="156"/>
  <c r="BB60" i="156" s="1"/>
  <c r="AI60" i="156"/>
  <c r="BD60" i="156" s="1"/>
  <c r="AJ60" i="156"/>
  <c r="BF60" i="156" s="1"/>
  <c r="AK60" i="156"/>
  <c r="BH60" i="156" s="1"/>
  <c r="AL60" i="156"/>
  <c r="BI60" i="156" s="1"/>
  <c r="AM60" i="156"/>
  <c r="BK60" i="156" s="1"/>
  <c r="AB13" i="156"/>
  <c r="AP13" i="156" s="1"/>
  <c r="AC13" i="156"/>
  <c r="AR13" i="156" s="1"/>
  <c r="AD13" i="156"/>
  <c r="AT13" i="156" s="1"/>
  <c r="AE13" i="156"/>
  <c r="AV13" i="156" s="1"/>
  <c r="AF13" i="156"/>
  <c r="AX13" i="156" s="1"/>
  <c r="AG13" i="156"/>
  <c r="AZ13" i="156" s="1"/>
  <c r="AH13" i="156"/>
  <c r="BB13" i="156" s="1"/>
  <c r="AI13" i="156"/>
  <c r="BD13" i="156" s="1"/>
  <c r="AJ13" i="156"/>
  <c r="BF13" i="156" s="1"/>
  <c r="AK13" i="156"/>
  <c r="BH13" i="156" s="1"/>
  <c r="AL13" i="156"/>
  <c r="BI13" i="156" s="1"/>
  <c r="AM13" i="156"/>
  <c r="BK13" i="156" s="1"/>
  <c r="AB65" i="156"/>
  <c r="AP65" i="156" s="1"/>
  <c r="AC65" i="156"/>
  <c r="AR65" i="156" s="1"/>
  <c r="AD65" i="156"/>
  <c r="AT65" i="156" s="1"/>
  <c r="AE65" i="156"/>
  <c r="AV65" i="156" s="1"/>
  <c r="AF65" i="156"/>
  <c r="AX65" i="156" s="1"/>
  <c r="AG65" i="156"/>
  <c r="AZ65" i="156" s="1"/>
  <c r="AH65" i="156"/>
  <c r="BB65" i="156" s="1"/>
  <c r="AI65" i="156"/>
  <c r="BD65" i="156" s="1"/>
  <c r="AJ65" i="156"/>
  <c r="BF65" i="156" s="1"/>
  <c r="AK65" i="156"/>
  <c r="BH65" i="156" s="1"/>
  <c r="AL65" i="156"/>
  <c r="BI65" i="156" s="1"/>
  <c r="AM65" i="156"/>
  <c r="BK65" i="156" s="1"/>
  <c r="AB19" i="156"/>
  <c r="AP19" i="156" s="1"/>
  <c r="AC19" i="156"/>
  <c r="AR19" i="156" s="1"/>
  <c r="AD19" i="156"/>
  <c r="AT19" i="156" s="1"/>
  <c r="AE19" i="156"/>
  <c r="AV19" i="156" s="1"/>
  <c r="AF19" i="156"/>
  <c r="AX19" i="156" s="1"/>
  <c r="AG19" i="156"/>
  <c r="AZ19" i="156" s="1"/>
  <c r="AH19" i="156"/>
  <c r="BB19" i="156" s="1"/>
  <c r="AI19" i="156"/>
  <c r="BD19" i="156" s="1"/>
  <c r="AJ19" i="156"/>
  <c r="BF19" i="156" s="1"/>
  <c r="AK19" i="156"/>
  <c r="BH19" i="156" s="1"/>
  <c r="AL19" i="156"/>
  <c r="BI19" i="156" s="1"/>
  <c r="AM19" i="156"/>
  <c r="BK19" i="156" s="1"/>
  <c r="AB66" i="156"/>
  <c r="AP66" i="156" s="1"/>
  <c r="AC66" i="156"/>
  <c r="AR66" i="156" s="1"/>
  <c r="AD66" i="156"/>
  <c r="AT66" i="156" s="1"/>
  <c r="AE66" i="156"/>
  <c r="AV66" i="156" s="1"/>
  <c r="AF66" i="156"/>
  <c r="AX66" i="156" s="1"/>
  <c r="AG66" i="156"/>
  <c r="AZ66" i="156" s="1"/>
  <c r="AH66" i="156"/>
  <c r="BB66" i="156" s="1"/>
  <c r="AI66" i="156"/>
  <c r="BD66" i="156" s="1"/>
  <c r="AJ66" i="156"/>
  <c r="BF66" i="156" s="1"/>
  <c r="AK66" i="156"/>
  <c r="BH66" i="156" s="1"/>
  <c r="AL66" i="156"/>
  <c r="BI66" i="156" s="1"/>
  <c r="AM66" i="156"/>
  <c r="BK66" i="156" s="1"/>
  <c r="AB20" i="156"/>
  <c r="AP20" i="156" s="1"/>
  <c r="AC20" i="156"/>
  <c r="AR20" i="156" s="1"/>
  <c r="AD20" i="156"/>
  <c r="AT20" i="156" s="1"/>
  <c r="AE20" i="156"/>
  <c r="AV20" i="156" s="1"/>
  <c r="AF20" i="156"/>
  <c r="AX20" i="156" s="1"/>
  <c r="AG20" i="156"/>
  <c r="AZ20" i="156" s="1"/>
  <c r="AH20" i="156"/>
  <c r="BB20" i="156" s="1"/>
  <c r="AI20" i="156"/>
  <c r="BD20" i="156" s="1"/>
  <c r="AJ20" i="156"/>
  <c r="BF20" i="156" s="1"/>
  <c r="AK20" i="156"/>
  <c r="BH20" i="156" s="1"/>
  <c r="AL20" i="156"/>
  <c r="BI20" i="156" s="1"/>
  <c r="AM20" i="156"/>
  <c r="BK20" i="156" s="1"/>
  <c r="AB96" i="156"/>
  <c r="AP96" i="156" s="1"/>
  <c r="AC96" i="156"/>
  <c r="AR96" i="156" s="1"/>
  <c r="AD96" i="156"/>
  <c r="AT96" i="156" s="1"/>
  <c r="AE96" i="156"/>
  <c r="AV96" i="156" s="1"/>
  <c r="AF96" i="156"/>
  <c r="AX96" i="156" s="1"/>
  <c r="AG96" i="156"/>
  <c r="AZ96" i="156" s="1"/>
  <c r="AH96" i="156"/>
  <c r="BB96" i="156" s="1"/>
  <c r="AI96" i="156"/>
  <c r="BD96" i="156" s="1"/>
  <c r="AJ96" i="156"/>
  <c r="BF96" i="156" s="1"/>
  <c r="AK96" i="156"/>
  <c r="BH96" i="156" s="1"/>
  <c r="AL96" i="156"/>
  <c r="BI96" i="156" s="1"/>
  <c r="AM96" i="156"/>
  <c r="BK96" i="156" s="1"/>
  <c r="AB21" i="156"/>
  <c r="AP21" i="156" s="1"/>
  <c r="AC21" i="156"/>
  <c r="AR21" i="156" s="1"/>
  <c r="AD21" i="156"/>
  <c r="AT21" i="156" s="1"/>
  <c r="AE21" i="156"/>
  <c r="AV21" i="156" s="1"/>
  <c r="AF21" i="156"/>
  <c r="AX21" i="156" s="1"/>
  <c r="AG21" i="156"/>
  <c r="AZ21" i="156" s="1"/>
  <c r="AH21" i="156"/>
  <c r="BB21" i="156" s="1"/>
  <c r="AI21" i="156"/>
  <c r="BD21" i="156" s="1"/>
  <c r="AJ21" i="156"/>
  <c r="BF21" i="156" s="1"/>
  <c r="AK21" i="156"/>
  <c r="BH21" i="156" s="1"/>
  <c r="AL21" i="156"/>
  <c r="BI21" i="156" s="1"/>
  <c r="AM21" i="156"/>
  <c r="BK21" i="156" s="1"/>
  <c r="AB97" i="156"/>
  <c r="AP97" i="156" s="1"/>
  <c r="AC97" i="156"/>
  <c r="AR97" i="156" s="1"/>
  <c r="AD97" i="156"/>
  <c r="AT97" i="156" s="1"/>
  <c r="AE97" i="156"/>
  <c r="AV97" i="156" s="1"/>
  <c r="AF97" i="156"/>
  <c r="AX97" i="156" s="1"/>
  <c r="AG97" i="156"/>
  <c r="AZ97" i="156" s="1"/>
  <c r="AH97" i="156"/>
  <c r="BB97" i="156" s="1"/>
  <c r="AI97" i="156"/>
  <c r="BD97" i="156" s="1"/>
  <c r="AJ97" i="156"/>
  <c r="BF97" i="156" s="1"/>
  <c r="AK97" i="156"/>
  <c r="BH97" i="156" s="1"/>
  <c r="AL97" i="156"/>
  <c r="BI97" i="156" s="1"/>
  <c r="AM97" i="156"/>
  <c r="BK97" i="156" s="1"/>
  <c r="AB22" i="156"/>
  <c r="AP22" i="156" s="1"/>
  <c r="AC22" i="156"/>
  <c r="AR22" i="156" s="1"/>
  <c r="AD22" i="156"/>
  <c r="AT22" i="156" s="1"/>
  <c r="AE22" i="156"/>
  <c r="AV22" i="156" s="1"/>
  <c r="AF22" i="156"/>
  <c r="AX22" i="156" s="1"/>
  <c r="AG22" i="156"/>
  <c r="AZ22" i="156" s="1"/>
  <c r="AH22" i="156"/>
  <c r="BB22" i="156" s="1"/>
  <c r="AI22" i="156"/>
  <c r="BD22" i="156" s="1"/>
  <c r="AJ22" i="156"/>
  <c r="BF22" i="156" s="1"/>
  <c r="AK22" i="156"/>
  <c r="BH22" i="156" s="1"/>
  <c r="AL22" i="156"/>
  <c r="BI22" i="156" s="1"/>
  <c r="AM22" i="156"/>
  <c r="BK22" i="156" s="1"/>
  <c r="AB26" i="156"/>
  <c r="AP26" i="156" s="1"/>
  <c r="AC26" i="156"/>
  <c r="AR26" i="156" s="1"/>
  <c r="AD26" i="156"/>
  <c r="AT26" i="156" s="1"/>
  <c r="AE26" i="156"/>
  <c r="AV26" i="156" s="1"/>
  <c r="AF26" i="156"/>
  <c r="AX26" i="156" s="1"/>
  <c r="AG26" i="156"/>
  <c r="AZ26" i="156" s="1"/>
  <c r="AH26" i="156"/>
  <c r="BB26" i="156" s="1"/>
  <c r="AI26" i="156"/>
  <c r="BD26" i="156" s="1"/>
  <c r="AJ26" i="156"/>
  <c r="BF26" i="156" s="1"/>
  <c r="AK26" i="156"/>
  <c r="BH26" i="156" s="1"/>
  <c r="AL26" i="156"/>
  <c r="BI26" i="156" s="1"/>
  <c r="AM26" i="156"/>
  <c r="BK26" i="156" s="1"/>
  <c r="AB117" i="156"/>
  <c r="AP117" i="156" s="1"/>
  <c r="AC117" i="156"/>
  <c r="AR117" i="156" s="1"/>
  <c r="AD117" i="156"/>
  <c r="AT117" i="156" s="1"/>
  <c r="AE117" i="156"/>
  <c r="AV117" i="156" s="1"/>
  <c r="AF117" i="156"/>
  <c r="AX117" i="156" s="1"/>
  <c r="AG117" i="156"/>
  <c r="AZ117" i="156" s="1"/>
  <c r="AH117" i="156"/>
  <c r="BB117" i="156" s="1"/>
  <c r="AI117" i="156"/>
  <c r="BD117" i="156" s="1"/>
  <c r="AJ117" i="156"/>
  <c r="BF117" i="156" s="1"/>
  <c r="AK117" i="156"/>
  <c r="BH117" i="156" s="1"/>
  <c r="AL117" i="156"/>
  <c r="BI117" i="156" s="1"/>
  <c r="AM117" i="156"/>
  <c r="BK117" i="156" s="1"/>
  <c r="AB105" i="156"/>
  <c r="AP105" i="156" s="1"/>
  <c r="AC105" i="156"/>
  <c r="AR105" i="156" s="1"/>
  <c r="AD105" i="156"/>
  <c r="AT105" i="156" s="1"/>
  <c r="AE105" i="156"/>
  <c r="AV105" i="156" s="1"/>
  <c r="AF105" i="156"/>
  <c r="AX105" i="156" s="1"/>
  <c r="AG105" i="156"/>
  <c r="AZ105" i="156" s="1"/>
  <c r="AH105" i="156"/>
  <c r="BB105" i="156" s="1"/>
  <c r="AI105" i="156"/>
  <c r="BD105" i="156" s="1"/>
  <c r="AJ105" i="156"/>
  <c r="BF105" i="156" s="1"/>
  <c r="AK105" i="156"/>
  <c r="BH105" i="156" s="1"/>
  <c r="AL105" i="156"/>
  <c r="BI105" i="156" s="1"/>
  <c r="AM105" i="156"/>
  <c r="BK105" i="156" s="1"/>
  <c r="AB27" i="156"/>
  <c r="AP27" i="156" s="1"/>
  <c r="AC27" i="156"/>
  <c r="AR27" i="156" s="1"/>
  <c r="AD27" i="156"/>
  <c r="AT27" i="156" s="1"/>
  <c r="AE27" i="156"/>
  <c r="AV27" i="156" s="1"/>
  <c r="AF27" i="156"/>
  <c r="AX27" i="156" s="1"/>
  <c r="AG27" i="156"/>
  <c r="AZ27" i="156" s="1"/>
  <c r="AH27" i="156"/>
  <c r="BB27" i="156" s="1"/>
  <c r="AI27" i="156"/>
  <c r="BD27" i="156" s="1"/>
  <c r="AJ27" i="156"/>
  <c r="BF27" i="156" s="1"/>
  <c r="AK27" i="156"/>
  <c r="BH27" i="156" s="1"/>
  <c r="AL27" i="156"/>
  <c r="BI27" i="156" s="1"/>
  <c r="AM27" i="156"/>
  <c r="BK27" i="156" s="1"/>
  <c r="AB118" i="156"/>
  <c r="AP118" i="156" s="1"/>
  <c r="AC118" i="156"/>
  <c r="AR118" i="156" s="1"/>
  <c r="AD118" i="156"/>
  <c r="AT118" i="156" s="1"/>
  <c r="AE118" i="156"/>
  <c r="AV118" i="156" s="1"/>
  <c r="AF118" i="156"/>
  <c r="AX118" i="156" s="1"/>
  <c r="AG118" i="156"/>
  <c r="AZ118" i="156" s="1"/>
  <c r="AH118" i="156"/>
  <c r="BB118" i="156" s="1"/>
  <c r="AI118" i="156"/>
  <c r="BD118" i="156" s="1"/>
  <c r="AJ118" i="156"/>
  <c r="BF118" i="156" s="1"/>
  <c r="AK118" i="156"/>
  <c r="BH118" i="156" s="1"/>
  <c r="AL118" i="156"/>
  <c r="BI118" i="156" s="1"/>
  <c r="AM118" i="156"/>
  <c r="BK118" i="156" s="1"/>
  <c r="AB35" i="156"/>
  <c r="AP35" i="156" s="1"/>
  <c r="AC35" i="156"/>
  <c r="AR35" i="156" s="1"/>
  <c r="AD35" i="156"/>
  <c r="AT35" i="156" s="1"/>
  <c r="AE35" i="156"/>
  <c r="AV35" i="156" s="1"/>
  <c r="AF35" i="156"/>
  <c r="AX35" i="156" s="1"/>
  <c r="AG35" i="156"/>
  <c r="AZ35" i="156" s="1"/>
  <c r="AH35" i="156"/>
  <c r="BB35" i="156" s="1"/>
  <c r="AI35" i="156"/>
  <c r="BD35" i="156" s="1"/>
  <c r="AJ35" i="156"/>
  <c r="BF35" i="156" s="1"/>
  <c r="AK35" i="156"/>
  <c r="BH35" i="156" s="1"/>
  <c r="AL35" i="156"/>
  <c r="BI35" i="156" s="1"/>
  <c r="AM35" i="156"/>
  <c r="BK35" i="156" s="1"/>
  <c r="AB36" i="156"/>
  <c r="AP36" i="156" s="1"/>
  <c r="AC36" i="156"/>
  <c r="AR36" i="156" s="1"/>
  <c r="AD36" i="156"/>
  <c r="AT36" i="156" s="1"/>
  <c r="AE36" i="156"/>
  <c r="AV36" i="156" s="1"/>
  <c r="AF36" i="156"/>
  <c r="AX36" i="156" s="1"/>
  <c r="AG36" i="156"/>
  <c r="AZ36" i="156" s="1"/>
  <c r="AH36" i="156"/>
  <c r="BB36" i="156" s="1"/>
  <c r="AI36" i="156"/>
  <c r="BD36" i="156" s="1"/>
  <c r="AJ36" i="156"/>
  <c r="BF36" i="156" s="1"/>
  <c r="AK36" i="156"/>
  <c r="BH36" i="156" s="1"/>
  <c r="AL36" i="156"/>
  <c r="BI36" i="156" s="1"/>
  <c r="AM36" i="156"/>
  <c r="BK36" i="156" s="1"/>
  <c r="AB43" i="156"/>
  <c r="AP43" i="156" s="1"/>
  <c r="AC43" i="156"/>
  <c r="AR43" i="156" s="1"/>
  <c r="AD43" i="156"/>
  <c r="AT43" i="156" s="1"/>
  <c r="AE43" i="156"/>
  <c r="AV43" i="156" s="1"/>
  <c r="AF43" i="156"/>
  <c r="AX43" i="156" s="1"/>
  <c r="AG43" i="156"/>
  <c r="AZ43" i="156" s="1"/>
  <c r="AH43" i="156"/>
  <c r="BB43" i="156" s="1"/>
  <c r="AI43" i="156"/>
  <c r="BD43" i="156" s="1"/>
  <c r="AJ43" i="156"/>
  <c r="BF43" i="156" s="1"/>
  <c r="AK43" i="156"/>
  <c r="BH43" i="156" s="1"/>
  <c r="AL43" i="156"/>
  <c r="BI43" i="156" s="1"/>
  <c r="AM43" i="156"/>
  <c r="BK43" i="156" s="1"/>
  <c r="AB42" i="156"/>
  <c r="AP42" i="156" s="1"/>
  <c r="AC42" i="156"/>
  <c r="AR42" i="156" s="1"/>
  <c r="AD42" i="156"/>
  <c r="AT42" i="156" s="1"/>
  <c r="AE42" i="156"/>
  <c r="AV42" i="156" s="1"/>
  <c r="AF42" i="156"/>
  <c r="AX42" i="156" s="1"/>
  <c r="AG42" i="156"/>
  <c r="AZ42" i="156" s="1"/>
  <c r="AH42" i="156"/>
  <c r="BB42" i="156" s="1"/>
  <c r="AI42" i="156"/>
  <c r="BD42" i="156" s="1"/>
  <c r="AJ42" i="156"/>
  <c r="BF42" i="156" s="1"/>
  <c r="AK42" i="156"/>
  <c r="BH42" i="156" s="1"/>
  <c r="AL42" i="156"/>
  <c r="BI42" i="156" s="1"/>
  <c r="AM42" i="156"/>
  <c r="BK42" i="156" s="1"/>
  <c r="AB38" i="156"/>
  <c r="AP38" i="156" s="1"/>
  <c r="AC38" i="156"/>
  <c r="AR38" i="156" s="1"/>
  <c r="AD38" i="156"/>
  <c r="AT38" i="156" s="1"/>
  <c r="AE38" i="156"/>
  <c r="AV38" i="156" s="1"/>
  <c r="AF38" i="156"/>
  <c r="AX38" i="156" s="1"/>
  <c r="AG38" i="156"/>
  <c r="AZ38" i="156" s="1"/>
  <c r="AH38" i="156"/>
  <c r="BB38" i="156" s="1"/>
  <c r="AI38" i="156"/>
  <c r="BD38" i="156" s="1"/>
  <c r="AJ38" i="156"/>
  <c r="BF38" i="156" s="1"/>
  <c r="AK38" i="156"/>
  <c r="BH38" i="156" s="1"/>
  <c r="AL38" i="156"/>
  <c r="BI38" i="156" s="1"/>
  <c r="AM38" i="156"/>
  <c r="BK38" i="156" s="1"/>
  <c r="AB44" i="156"/>
  <c r="AP44" i="156" s="1"/>
  <c r="AC44" i="156"/>
  <c r="AR44" i="156" s="1"/>
  <c r="AD44" i="156"/>
  <c r="AT44" i="156" s="1"/>
  <c r="AE44" i="156"/>
  <c r="AV44" i="156" s="1"/>
  <c r="AF44" i="156"/>
  <c r="AX44" i="156" s="1"/>
  <c r="AG44" i="156"/>
  <c r="AZ44" i="156" s="1"/>
  <c r="AH44" i="156"/>
  <c r="BB44" i="156" s="1"/>
  <c r="AI44" i="156"/>
  <c r="BD44" i="156" s="1"/>
  <c r="AJ44" i="156"/>
  <c r="BF44" i="156" s="1"/>
  <c r="AK44" i="156"/>
  <c r="BH44" i="156" s="1"/>
  <c r="AL44" i="156"/>
  <c r="BI44" i="156" s="1"/>
  <c r="AM44" i="156"/>
  <c r="BK44" i="156" s="1"/>
  <c r="AB39" i="156"/>
  <c r="AP39" i="156" s="1"/>
  <c r="AC39" i="156"/>
  <c r="AR39" i="156" s="1"/>
  <c r="AD39" i="156"/>
  <c r="AT39" i="156" s="1"/>
  <c r="AE39" i="156"/>
  <c r="AV39" i="156" s="1"/>
  <c r="AF39" i="156"/>
  <c r="AX39" i="156" s="1"/>
  <c r="AG39" i="156"/>
  <c r="AZ39" i="156" s="1"/>
  <c r="AH39" i="156"/>
  <c r="BB39" i="156" s="1"/>
  <c r="AI39" i="156"/>
  <c r="BD39" i="156" s="1"/>
  <c r="AJ39" i="156"/>
  <c r="BF39" i="156" s="1"/>
  <c r="AK39" i="156"/>
  <c r="BH39" i="156" s="1"/>
  <c r="AL39" i="156"/>
  <c r="BI39" i="156" s="1"/>
  <c r="AM39" i="156"/>
  <c r="BK39" i="156" s="1"/>
  <c r="AB45" i="156"/>
  <c r="AP45" i="156" s="1"/>
  <c r="AC45" i="156"/>
  <c r="AR45" i="156" s="1"/>
  <c r="AD45" i="156"/>
  <c r="AT45" i="156" s="1"/>
  <c r="AE45" i="156"/>
  <c r="AV45" i="156" s="1"/>
  <c r="AF45" i="156"/>
  <c r="AX45" i="156" s="1"/>
  <c r="AG45" i="156"/>
  <c r="AZ45" i="156" s="1"/>
  <c r="AH45" i="156"/>
  <c r="BB45" i="156" s="1"/>
  <c r="AI45" i="156"/>
  <c r="BD45" i="156" s="1"/>
  <c r="AJ45" i="156"/>
  <c r="BF45" i="156" s="1"/>
  <c r="AK45" i="156"/>
  <c r="BH45" i="156" s="1"/>
  <c r="AL45" i="156"/>
  <c r="BI45" i="156" s="1"/>
  <c r="AM45" i="156"/>
  <c r="BK45" i="156" s="1"/>
  <c r="AB40" i="156"/>
  <c r="AP40" i="156" s="1"/>
  <c r="AC40" i="156"/>
  <c r="AR40" i="156" s="1"/>
  <c r="AD40" i="156"/>
  <c r="AT40" i="156" s="1"/>
  <c r="AE40" i="156"/>
  <c r="AV40" i="156" s="1"/>
  <c r="AF40" i="156"/>
  <c r="AX40" i="156" s="1"/>
  <c r="AG40" i="156"/>
  <c r="AZ40" i="156" s="1"/>
  <c r="AH40" i="156"/>
  <c r="BB40" i="156" s="1"/>
  <c r="AI40" i="156"/>
  <c r="BD40" i="156" s="1"/>
  <c r="AJ40" i="156"/>
  <c r="BF40" i="156" s="1"/>
  <c r="AK40" i="156"/>
  <c r="BH40" i="156" s="1"/>
  <c r="AL40" i="156"/>
  <c r="BI40" i="156" s="1"/>
  <c r="AM40" i="156"/>
  <c r="BK40" i="156" s="1"/>
  <c r="AB48" i="156"/>
  <c r="AP48" i="156" s="1"/>
  <c r="AC48" i="156"/>
  <c r="AR48" i="156" s="1"/>
  <c r="AD48" i="156"/>
  <c r="AT48" i="156" s="1"/>
  <c r="AE48" i="156"/>
  <c r="AV48" i="156" s="1"/>
  <c r="AF48" i="156"/>
  <c r="AX48" i="156" s="1"/>
  <c r="AG48" i="156"/>
  <c r="AZ48" i="156" s="1"/>
  <c r="AH48" i="156"/>
  <c r="BB48" i="156" s="1"/>
  <c r="AI48" i="156"/>
  <c r="BD48" i="156" s="1"/>
  <c r="AJ48" i="156"/>
  <c r="BF48" i="156" s="1"/>
  <c r="AK48" i="156"/>
  <c r="BH48" i="156" s="1"/>
  <c r="AL48" i="156"/>
  <c r="BI48" i="156" s="1"/>
  <c r="AM48" i="156"/>
  <c r="BK48" i="156" s="1"/>
  <c r="AB54" i="156"/>
  <c r="AP54" i="156" s="1"/>
  <c r="AC54" i="156"/>
  <c r="AR54" i="156" s="1"/>
  <c r="AD54" i="156"/>
  <c r="AT54" i="156" s="1"/>
  <c r="AE54" i="156"/>
  <c r="AV54" i="156" s="1"/>
  <c r="AF54" i="156"/>
  <c r="AX54" i="156" s="1"/>
  <c r="AG54" i="156"/>
  <c r="AZ54" i="156" s="1"/>
  <c r="AH54" i="156"/>
  <c r="BB54" i="156" s="1"/>
  <c r="AI54" i="156"/>
  <c r="BD54" i="156" s="1"/>
  <c r="AJ54" i="156"/>
  <c r="BF54" i="156" s="1"/>
  <c r="AK54" i="156"/>
  <c r="BH54" i="156" s="1"/>
  <c r="AL54" i="156"/>
  <c r="BI54" i="156" s="1"/>
  <c r="AM54" i="156"/>
  <c r="BK54" i="156" s="1"/>
  <c r="AB56" i="156"/>
  <c r="AP56" i="156" s="1"/>
  <c r="AC56" i="156"/>
  <c r="AR56" i="156" s="1"/>
  <c r="AD56" i="156"/>
  <c r="AT56" i="156" s="1"/>
  <c r="AE56" i="156"/>
  <c r="AV56" i="156" s="1"/>
  <c r="AF56" i="156"/>
  <c r="AX56" i="156" s="1"/>
  <c r="AG56" i="156"/>
  <c r="AZ56" i="156" s="1"/>
  <c r="AH56" i="156"/>
  <c r="BB56" i="156" s="1"/>
  <c r="AI56" i="156"/>
  <c r="BD56" i="156" s="1"/>
  <c r="AJ56" i="156"/>
  <c r="BF56" i="156" s="1"/>
  <c r="AK56" i="156"/>
  <c r="BH56" i="156" s="1"/>
  <c r="AL56" i="156"/>
  <c r="BI56" i="156" s="1"/>
  <c r="AM56" i="156"/>
  <c r="BK56" i="156" s="1"/>
  <c r="AB51" i="156"/>
  <c r="AP51" i="156" s="1"/>
  <c r="AC51" i="156"/>
  <c r="AR51" i="156" s="1"/>
  <c r="AD51" i="156"/>
  <c r="AT51" i="156" s="1"/>
  <c r="AE51" i="156"/>
  <c r="AV51" i="156" s="1"/>
  <c r="AF51" i="156"/>
  <c r="AX51" i="156" s="1"/>
  <c r="AG51" i="156"/>
  <c r="AZ51" i="156" s="1"/>
  <c r="AH51" i="156"/>
  <c r="BB51" i="156" s="1"/>
  <c r="AI51" i="156"/>
  <c r="BD51" i="156" s="1"/>
  <c r="AJ51" i="156"/>
  <c r="BF51" i="156" s="1"/>
  <c r="AK51" i="156"/>
  <c r="BH51" i="156" s="1"/>
  <c r="AL51" i="156"/>
  <c r="BI51" i="156" s="1"/>
  <c r="AM51" i="156"/>
  <c r="BK51" i="156" s="1"/>
  <c r="AB29" i="156"/>
  <c r="AP29" i="156" s="1"/>
  <c r="AC29" i="156"/>
  <c r="AR29" i="156" s="1"/>
  <c r="AD29" i="156"/>
  <c r="AT29" i="156" s="1"/>
  <c r="AE29" i="156"/>
  <c r="AV29" i="156" s="1"/>
  <c r="AF29" i="156"/>
  <c r="AX29" i="156" s="1"/>
  <c r="AG29" i="156"/>
  <c r="AZ29" i="156" s="1"/>
  <c r="AH29" i="156"/>
  <c r="BB29" i="156" s="1"/>
  <c r="AI29" i="156"/>
  <c r="BD29" i="156" s="1"/>
  <c r="AJ29" i="156"/>
  <c r="BF29" i="156" s="1"/>
  <c r="AK29" i="156"/>
  <c r="BH29" i="156" s="1"/>
  <c r="AL29" i="156"/>
  <c r="BI29" i="156" s="1"/>
  <c r="AM29" i="156"/>
  <c r="BK29" i="156" s="1"/>
  <c r="AB57" i="156"/>
  <c r="AP57" i="156" s="1"/>
  <c r="AC57" i="156"/>
  <c r="AR57" i="156" s="1"/>
  <c r="AD57" i="156"/>
  <c r="AT57" i="156" s="1"/>
  <c r="AE57" i="156"/>
  <c r="AV57" i="156" s="1"/>
  <c r="AF57" i="156"/>
  <c r="AX57" i="156" s="1"/>
  <c r="AG57" i="156"/>
  <c r="AZ57" i="156" s="1"/>
  <c r="AH57" i="156"/>
  <c r="BB57" i="156" s="1"/>
  <c r="AI57" i="156"/>
  <c r="BD57" i="156" s="1"/>
  <c r="AJ57" i="156"/>
  <c r="BF57" i="156" s="1"/>
  <c r="AK57" i="156"/>
  <c r="BH57" i="156" s="1"/>
  <c r="AL57" i="156"/>
  <c r="BI57" i="156" s="1"/>
  <c r="AM57" i="156"/>
  <c r="BK57" i="156" s="1"/>
  <c r="AB67" i="156"/>
  <c r="AP67" i="156" s="1"/>
  <c r="AC67" i="156"/>
  <c r="AR67" i="156" s="1"/>
  <c r="AD67" i="156"/>
  <c r="AT67" i="156" s="1"/>
  <c r="AE67" i="156"/>
  <c r="AV67" i="156" s="1"/>
  <c r="AF67" i="156"/>
  <c r="AX67" i="156" s="1"/>
  <c r="AG67" i="156"/>
  <c r="AZ67" i="156" s="1"/>
  <c r="AH67" i="156"/>
  <c r="BB67" i="156" s="1"/>
  <c r="AI67" i="156"/>
  <c r="BD67" i="156" s="1"/>
  <c r="AJ67" i="156"/>
  <c r="BF67" i="156" s="1"/>
  <c r="AK67" i="156"/>
  <c r="BH67" i="156" s="1"/>
  <c r="AL67" i="156"/>
  <c r="BI67" i="156" s="1"/>
  <c r="AM67" i="156"/>
  <c r="BK67" i="156" s="1"/>
  <c r="AB32" i="156"/>
  <c r="AP32" i="156" s="1"/>
  <c r="AC32" i="156"/>
  <c r="AR32" i="156" s="1"/>
  <c r="AD32" i="156"/>
  <c r="AT32" i="156" s="1"/>
  <c r="AE32" i="156"/>
  <c r="AV32" i="156" s="1"/>
  <c r="AF32" i="156"/>
  <c r="AX32" i="156" s="1"/>
  <c r="AG32" i="156"/>
  <c r="AZ32" i="156" s="1"/>
  <c r="AH32" i="156"/>
  <c r="BB32" i="156" s="1"/>
  <c r="AI32" i="156"/>
  <c r="BD32" i="156" s="1"/>
  <c r="AJ32" i="156"/>
  <c r="BF32" i="156" s="1"/>
  <c r="AK32" i="156"/>
  <c r="BH32" i="156" s="1"/>
  <c r="AL32" i="156"/>
  <c r="BI32" i="156" s="1"/>
  <c r="AM32" i="156"/>
  <c r="BK32" i="156" s="1"/>
  <c r="AB70" i="156"/>
  <c r="AP70" i="156" s="1"/>
  <c r="AC70" i="156"/>
  <c r="AR70" i="156" s="1"/>
  <c r="AD70" i="156"/>
  <c r="AT70" i="156" s="1"/>
  <c r="AE70" i="156"/>
  <c r="AV70" i="156" s="1"/>
  <c r="AF70" i="156"/>
  <c r="AX70" i="156" s="1"/>
  <c r="AG70" i="156"/>
  <c r="AZ70" i="156" s="1"/>
  <c r="AH70" i="156"/>
  <c r="BB70" i="156" s="1"/>
  <c r="AI70" i="156"/>
  <c r="BD70" i="156" s="1"/>
  <c r="AJ70" i="156"/>
  <c r="BF70" i="156" s="1"/>
  <c r="AK70" i="156"/>
  <c r="BH70" i="156" s="1"/>
  <c r="AL70" i="156"/>
  <c r="BI70" i="156" s="1"/>
  <c r="AM70" i="156"/>
  <c r="BK70" i="156" s="1"/>
  <c r="AB69" i="156"/>
  <c r="AP69" i="156" s="1"/>
  <c r="AC69" i="156"/>
  <c r="AR69" i="156" s="1"/>
  <c r="AD69" i="156"/>
  <c r="AT69" i="156" s="1"/>
  <c r="AE69" i="156"/>
  <c r="AV69" i="156" s="1"/>
  <c r="AF69" i="156"/>
  <c r="AX69" i="156" s="1"/>
  <c r="AG69" i="156"/>
  <c r="AZ69" i="156" s="1"/>
  <c r="AH69" i="156"/>
  <c r="BB69" i="156" s="1"/>
  <c r="AI69" i="156"/>
  <c r="BD69" i="156" s="1"/>
  <c r="AJ69" i="156"/>
  <c r="BF69" i="156" s="1"/>
  <c r="AK69" i="156"/>
  <c r="BH69" i="156" s="1"/>
  <c r="AL69" i="156"/>
  <c r="BI69" i="156" s="1"/>
  <c r="AM69" i="156"/>
  <c r="BK69" i="156" s="1"/>
  <c r="AB72" i="156"/>
  <c r="AP72" i="156" s="1"/>
  <c r="AC72" i="156"/>
  <c r="AR72" i="156" s="1"/>
  <c r="AD72" i="156"/>
  <c r="AT72" i="156" s="1"/>
  <c r="AE72" i="156"/>
  <c r="AV72" i="156" s="1"/>
  <c r="AF72" i="156"/>
  <c r="AX72" i="156" s="1"/>
  <c r="AG72" i="156"/>
  <c r="AZ72" i="156" s="1"/>
  <c r="AH72" i="156"/>
  <c r="BB72" i="156" s="1"/>
  <c r="AI72" i="156"/>
  <c r="BD72" i="156" s="1"/>
  <c r="AJ72" i="156"/>
  <c r="BF72" i="156" s="1"/>
  <c r="AK72" i="156"/>
  <c r="BH72" i="156" s="1"/>
  <c r="AL72" i="156"/>
  <c r="BI72" i="156" s="1"/>
  <c r="AM72" i="156"/>
  <c r="BK72" i="156" s="1"/>
  <c r="AB73" i="156"/>
  <c r="AP73" i="156" s="1"/>
  <c r="AC73" i="156"/>
  <c r="AR73" i="156" s="1"/>
  <c r="AD73" i="156"/>
  <c r="AT73" i="156" s="1"/>
  <c r="AE73" i="156"/>
  <c r="AV73" i="156" s="1"/>
  <c r="AF73" i="156"/>
  <c r="AX73" i="156" s="1"/>
  <c r="AG73" i="156"/>
  <c r="AZ73" i="156" s="1"/>
  <c r="AH73" i="156"/>
  <c r="BB73" i="156" s="1"/>
  <c r="AI73" i="156"/>
  <c r="BD73" i="156" s="1"/>
  <c r="AJ73" i="156"/>
  <c r="BF73" i="156" s="1"/>
  <c r="AK73" i="156"/>
  <c r="BH73" i="156" s="1"/>
  <c r="AL73" i="156"/>
  <c r="BI73" i="156" s="1"/>
  <c r="AM73" i="156"/>
  <c r="BK73" i="156" s="1"/>
  <c r="AB34" i="156"/>
  <c r="AP34" i="156" s="1"/>
  <c r="AC34" i="156"/>
  <c r="AR34" i="156" s="1"/>
  <c r="AD34" i="156"/>
  <c r="AT34" i="156" s="1"/>
  <c r="AE34" i="156"/>
  <c r="AV34" i="156" s="1"/>
  <c r="AF34" i="156"/>
  <c r="AX34" i="156" s="1"/>
  <c r="AG34" i="156"/>
  <c r="AZ34" i="156" s="1"/>
  <c r="AH34" i="156"/>
  <c r="BB34" i="156" s="1"/>
  <c r="AI34" i="156"/>
  <c r="BD34" i="156" s="1"/>
  <c r="AJ34" i="156"/>
  <c r="BF34" i="156" s="1"/>
  <c r="AK34" i="156"/>
  <c r="BH34" i="156" s="1"/>
  <c r="AL34" i="156"/>
  <c r="BI34" i="156" s="1"/>
  <c r="AM34" i="156"/>
  <c r="BK34" i="156" s="1"/>
  <c r="AB75" i="156"/>
  <c r="AP75" i="156" s="1"/>
  <c r="AC75" i="156"/>
  <c r="AR75" i="156" s="1"/>
  <c r="AD75" i="156"/>
  <c r="AT75" i="156" s="1"/>
  <c r="AE75" i="156"/>
  <c r="AV75" i="156" s="1"/>
  <c r="AF75" i="156"/>
  <c r="AX75" i="156" s="1"/>
  <c r="AG75" i="156"/>
  <c r="AZ75" i="156" s="1"/>
  <c r="AH75" i="156"/>
  <c r="BB75" i="156" s="1"/>
  <c r="AI75" i="156"/>
  <c r="BD75" i="156" s="1"/>
  <c r="AJ75" i="156"/>
  <c r="BF75" i="156" s="1"/>
  <c r="AK75" i="156"/>
  <c r="BH75" i="156" s="1"/>
  <c r="AL75" i="156"/>
  <c r="BI75" i="156" s="1"/>
  <c r="AM75" i="156"/>
  <c r="BK75" i="156" s="1"/>
  <c r="AB76" i="156"/>
  <c r="AP76" i="156" s="1"/>
  <c r="AC76" i="156"/>
  <c r="AR76" i="156" s="1"/>
  <c r="AD76" i="156"/>
  <c r="AT76" i="156" s="1"/>
  <c r="AE76" i="156"/>
  <c r="AV76" i="156" s="1"/>
  <c r="AF76" i="156"/>
  <c r="AX76" i="156" s="1"/>
  <c r="AG76" i="156"/>
  <c r="AZ76" i="156" s="1"/>
  <c r="AH76" i="156"/>
  <c r="BB76" i="156" s="1"/>
  <c r="AI76" i="156"/>
  <c r="BD76" i="156" s="1"/>
  <c r="AJ76" i="156"/>
  <c r="BF76" i="156" s="1"/>
  <c r="AK76" i="156"/>
  <c r="BH76" i="156" s="1"/>
  <c r="AL76" i="156"/>
  <c r="BI76" i="156" s="1"/>
  <c r="AM76" i="156"/>
  <c r="BK76" i="156" s="1"/>
  <c r="AB77" i="156"/>
  <c r="AP77" i="156" s="1"/>
  <c r="AC77" i="156"/>
  <c r="AR77" i="156" s="1"/>
  <c r="AD77" i="156"/>
  <c r="AT77" i="156" s="1"/>
  <c r="AE77" i="156"/>
  <c r="AV77" i="156" s="1"/>
  <c r="AF77" i="156"/>
  <c r="AX77" i="156" s="1"/>
  <c r="AG77" i="156"/>
  <c r="AZ77" i="156" s="1"/>
  <c r="AH77" i="156"/>
  <c r="BB77" i="156" s="1"/>
  <c r="AI77" i="156"/>
  <c r="BD77" i="156" s="1"/>
  <c r="AJ77" i="156"/>
  <c r="BF77" i="156" s="1"/>
  <c r="AK77" i="156"/>
  <c r="BH77" i="156" s="1"/>
  <c r="AL77" i="156"/>
  <c r="BI77" i="156" s="1"/>
  <c r="AM77" i="156"/>
  <c r="BK77" i="156" s="1"/>
  <c r="AB83" i="156"/>
  <c r="AP83" i="156" s="1"/>
  <c r="AC83" i="156"/>
  <c r="AR83" i="156" s="1"/>
  <c r="AD83" i="156"/>
  <c r="AT83" i="156" s="1"/>
  <c r="AE83" i="156"/>
  <c r="AV83" i="156" s="1"/>
  <c r="AF83" i="156"/>
  <c r="AX83" i="156" s="1"/>
  <c r="AG83" i="156"/>
  <c r="AZ83" i="156" s="1"/>
  <c r="AH83" i="156"/>
  <c r="BB83" i="156" s="1"/>
  <c r="AI83" i="156"/>
  <c r="BD83" i="156" s="1"/>
  <c r="AJ83" i="156"/>
  <c r="BF83" i="156" s="1"/>
  <c r="AK83" i="156"/>
  <c r="BH83" i="156" s="1"/>
  <c r="AL83" i="156"/>
  <c r="BI83" i="156" s="1"/>
  <c r="AM83" i="156"/>
  <c r="BK83" i="156" s="1"/>
  <c r="AB79" i="156"/>
  <c r="AP79" i="156" s="1"/>
  <c r="AC79" i="156"/>
  <c r="AR79" i="156" s="1"/>
  <c r="AD79" i="156"/>
  <c r="AT79" i="156" s="1"/>
  <c r="AE79" i="156"/>
  <c r="AV79" i="156" s="1"/>
  <c r="AF79" i="156"/>
  <c r="AX79" i="156" s="1"/>
  <c r="AG79" i="156"/>
  <c r="AZ79" i="156" s="1"/>
  <c r="AH79" i="156"/>
  <c r="BB79" i="156" s="1"/>
  <c r="AI79" i="156"/>
  <c r="BD79" i="156" s="1"/>
  <c r="AJ79" i="156"/>
  <c r="BF79" i="156" s="1"/>
  <c r="AK79" i="156"/>
  <c r="BH79" i="156" s="1"/>
  <c r="AL79" i="156"/>
  <c r="BI79" i="156" s="1"/>
  <c r="AM79" i="156"/>
  <c r="BK79" i="156" s="1"/>
  <c r="AB78" i="156"/>
  <c r="AP78" i="156" s="1"/>
  <c r="AC78" i="156"/>
  <c r="AR78" i="156" s="1"/>
  <c r="AD78" i="156"/>
  <c r="AT78" i="156" s="1"/>
  <c r="AE78" i="156"/>
  <c r="AV78" i="156" s="1"/>
  <c r="AF78" i="156"/>
  <c r="AX78" i="156" s="1"/>
  <c r="AG78" i="156"/>
  <c r="AZ78" i="156" s="1"/>
  <c r="AH78" i="156"/>
  <c r="BB78" i="156" s="1"/>
  <c r="AI78" i="156"/>
  <c r="BD78" i="156" s="1"/>
  <c r="AJ78" i="156"/>
  <c r="BF78" i="156" s="1"/>
  <c r="AK78" i="156"/>
  <c r="BH78" i="156" s="1"/>
  <c r="AL78" i="156"/>
  <c r="BI78" i="156" s="1"/>
  <c r="AM78" i="156"/>
  <c r="BK78" i="156" s="1"/>
  <c r="AB93" i="156"/>
  <c r="AP93" i="156" s="1"/>
  <c r="AC93" i="156"/>
  <c r="AR93" i="156" s="1"/>
  <c r="AD93" i="156"/>
  <c r="AT93" i="156" s="1"/>
  <c r="AE93" i="156"/>
  <c r="AV93" i="156" s="1"/>
  <c r="AF93" i="156"/>
  <c r="AX93" i="156" s="1"/>
  <c r="AG93" i="156"/>
  <c r="AZ93" i="156" s="1"/>
  <c r="AH93" i="156"/>
  <c r="BB93" i="156" s="1"/>
  <c r="AI93" i="156"/>
  <c r="BD93" i="156" s="1"/>
  <c r="AJ93" i="156"/>
  <c r="BF93" i="156" s="1"/>
  <c r="AK93" i="156"/>
  <c r="BH93" i="156" s="1"/>
  <c r="AL93" i="156"/>
  <c r="BI93" i="156" s="1"/>
  <c r="AM93" i="156"/>
  <c r="BK93" i="156" s="1"/>
  <c r="AB80" i="156"/>
  <c r="AP80" i="156" s="1"/>
  <c r="AC80" i="156"/>
  <c r="AR80" i="156" s="1"/>
  <c r="AD80" i="156"/>
  <c r="AT80" i="156" s="1"/>
  <c r="AE80" i="156"/>
  <c r="AV80" i="156" s="1"/>
  <c r="AF80" i="156"/>
  <c r="AX80" i="156" s="1"/>
  <c r="AG80" i="156"/>
  <c r="AZ80" i="156" s="1"/>
  <c r="AH80" i="156"/>
  <c r="BB80" i="156" s="1"/>
  <c r="AI80" i="156"/>
  <c r="BD80" i="156" s="1"/>
  <c r="AJ80" i="156"/>
  <c r="BF80" i="156" s="1"/>
  <c r="AK80" i="156"/>
  <c r="BH80" i="156" s="1"/>
  <c r="AL80" i="156"/>
  <c r="BI80" i="156" s="1"/>
  <c r="AM80" i="156"/>
  <c r="BK80" i="156" s="1"/>
  <c r="AB94" i="156"/>
  <c r="AP94" i="156" s="1"/>
  <c r="AC94" i="156"/>
  <c r="AR94" i="156" s="1"/>
  <c r="AD94" i="156"/>
  <c r="AT94" i="156" s="1"/>
  <c r="AE94" i="156"/>
  <c r="AV94" i="156" s="1"/>
  <c r="AF94" i="156"/>
  <c r="AX94" i="156" s="1"/>
  <c r="AG94" i="156"/>
  <c r="AZ94" i="156" s="1"/>
  <c r="AH94" i="156"/>
  <c r="BB94" i="156" s="1"/>
  <c r="AI94" i="156"/>
  <c r="BD94" i="156" s="1"/>
  <c r="AJ94" i="156"/>
  <c r="BF94" i="156" s="1"/>
  <c r="AK94" i="156"/>
  <c r="BH94" i="156" s="1"/>
  <c r="AL94" i="156"/>
  <c r="BI94" i="156" s="1"/>
  <c r="AM94" i="156"/>
  <c r="BK94" i="156" s="1"/>
  <c r="AB81" i="156"/>
  <c r="AP81" i="156" s="1"/>
  <c r="AC81" i="156"/>
  <c r="AR81" i="156" s="1"/>
  <c r="AD81" i="156"/>
  <c r="AT81" i="156" s="1"/>
  <c r="AE81" i="156"/>
  <c r="AV81" i="156" s="1"/>
  <c r="AF81" i="156"/>
  <c r="AX81" i="156" s="1"/>
  <c r="AG81" i="156"/>
  <c r="AZ81" i="156" s="1"/>
  <c r="AH81" i="156"/>
  <c r="BB81" i="156" s="1"/>
  <c r="AI81" i="156"/>
  <c r="BD81" i="156" s="1"/>
  <c r="AJ81" i="156"/>
  <c r="BF81" i="156" s="1"/>
  <c r="AK81" i="156"/>
  <c r="BH81" i="156" s="1"/>
  <c r="AL81" i="156"/>
  <c r="BI81" i="156" s="1"/>
  <c r="AM81" i="156"/>
  <c r="BK81" i="156" s="1"/>
  <c r="AB119" i="156"/>
  <c r="AP119" i="156" s="1"/>
  <c r="AC119" i="156"/>
  <c r="AR119" i="156" s="1"/>
  <c r="AD119" i="156"/>
  <c r="AT119" i="156" s="1"/>
  <c r="AE119" i="156"/>
  <c r="AV119" i="156" s="1"/>
  <c r="AF119" i="156"/>
  <c r="AX119" i="156" s="1"/>
  <c r="AG119" i="156"/>
  <c r="AZ119" i="156" s="1"/>
  <c r="AH119" i="156"/>
  <c r="BB119" i="156" s="1"/>
  <c r="AI119" i="156"/>
  <c r="BD119" i="156" s="1"/>
  <c r="AJ119" i="156"/>
  <c r="BF119" i="156" s="1"/>
  <c r="AK119" i="156"/>
  <c r="BH119" i="156" s="1"/>
  <c r="AL119" i="156"/>
  <c r="BI119" i="156" s="1"/>
  <c r="AM119" i="156"/>
  <c r="BK119" i="156" s="1"/>
  <c r="AB125" i="156"/>
  <c r="AP125" i="156" s="1"/>
  <c r="AC125" i="156"/>
  <c r="AR125" i="156" s="1"/>
  <c r="AD125" i="156"/>
  <c r="AT125" i="156" s="1"/>
  <c r="AE125" i="156"/>
  <c r="AV125" i="156" s="1"/>
  <c r="AF125" i="156"/>
  <c r="AX125" i="156" s="1"/>
  <c r="AG125" i="156"/>
  <c r="AZ125" i="156" s="1"/>
  <c r="AH125" i="156"/>
  <c r="BB125" i="156" s="1"/>
  <c r="AI125" i="156"/>
  <c r="BD125" i="156" s="1"/>
  <c r="AJ125" i="156"/>
  <c r="BF125" i="156" s="1"/>
  <c r="AK125" i="156"/>
  <c r="BH125" i="156" s="1"/>
  <c r="AL125" i="156"/>
  <c r="BI125" i="156" s="1"/>
  <c r="AM125" i="156"/>
  <c r="BK125" i="156" s="1"/>
  <c r="AB108" i="156"/>
  <c r="AP108" i="156" s="1"/>
  <c r="AC108" i="156"/>
  <c r="AR108" i="156" s="1"/>
  <c r="AD108" i="156"/>
  <c r="AT108" i="156" s="1"/>
  <c r="AE108" i="156"/>
  <c r="AV108" i="156" s="1"/>
  <c r="AF108" i="156"/>
  <c r="AX108" i="156" s="1"/>
  <c r="AG108" i="156"/>
  <c r="AZ108" i="156" s="1"/>
  <c r="AH108" i="156"/>
  <c r="BB108" i="156" s="1"/>
  <c r="AI108" i="156"/>
  <c r="BD108" i="156" s="1"/>
  <c r="AJ108" i="156"/>
  <c r="BF108" i="156" s="1"/>
  <c r="AK108" i="156"/>
  <c r="BH108" i="156" s="1"/>
  <c r="AL108" i="156"/>
  <c r="BI108" i="156" s="1"/>
  <c r="AM108" i="156"/>
  <c r="BK108" i="156" s="1"/>
  <c r="AB124" i="156"/>
  <c r="AP124" i="156" s="1"/>
  <c r="AC124" i="156"/>
  <c r="AR124" i="156" s="1"/>
  <c r="AD124" i="156"/>
  <c r="AT124" i="156" s="1"/>
  <c r="AE124" i="156"/>
  <c r="AV124" i="156" s="1"/>
  <c r="AF124" i="156"/>
  <c r="AX124" i="156" s="1"/>
  <c r="AG124" i="156"/>
  <c r="AZ124" i="156" s="1"/>
  <c r="AH124" i="156"/>
  <c r="BB124" i="156" s="1"/>
  <c r="AI124" i="156"/>
  <c r="BD124" i="156" s="1"/>
  <c r="AJ124" i="156"/>
  <c r="BF124" i="156" s="1"/>
  <c r="AK124" i="156"/>
  <c r="BH124" i="156" s="1"/>
  <c r="AL124" i="156"/>
  <c r="BI124" i="156" s="1"/>
  <c r="AM124" i="156"/>
  <c r="BK124" i="156" s="1"/>
  <c r="AB71" i="156"/>
  <c r="AP71" i="156" s="1"/>
  <c r="AC71" i="156"/>
  <c r="AR71" i="156" s="1"/>
  <c r="AD71" i="156"/>
  <c r="AT71" i="156" s="1"/>
  <c r="AE71" i="156"/>
  <c r="AV71" i="156" s="1"/>
  <c r="AF71" i="156"/>
  <c r="AX71" i="156" s="1"/>
  <c r="AG71" i="156"/>
  <c r="AZ71" i="156" s="1"/>
  <c r="AH71" i="156"/>
  <c r="BB71" i="156" s="1"/>
  <c r="AI71" i="156"/>
  <c r="BD71" i="156" s="1"/>
  <c r="AJ71" i="156"/>
  <c r="BF71" i="156" s="1"/>
  <c r="AK71" i="156"/>
  <c r="BH71" i="156" s="1"/>
  <c r="AL71" i="156"/>
  <c r="BI71" i="156" s="1"/>
  <c r="AM71" i="156"/>
  <c r="BK71" i="156" s="1"/>
  <c r="R138" i="156"/>
  <c r="U138" i="156"/>
  <c r="R89" i="156"/>
  <c r="T89" i="156" s="1"/>
  <c r="U89" i="156"/>
  <c r="R112" i="156"/>
  <c r="U112" i="156"/>
  <c r="R90" i="156"/>
  <c r="T90" i="156" s="1"/>
  <c r="U90" i="156"/>
  <c r="R100" i="156"/>
  <c r="T100" i="156" s="1"/>
  <c r="U100" i="156"/>
  <c r="R47" i="156"/>
  <c r="T47" i="156" s="1"/>
  <c r="U47" i="156"/>
  <c r="R8" i="156"/>
  <c r="T8" i="156" s="1"/>
  <c r="U8" i="156"/>
  <c r="R68" i="156"/>
  <c r="U68" i="156"/>
  <c r="R82" i="156"/>
  <c r="T82" i="156" s="1"/>
  <c r="U82" i="156"/>
  <c r="R2" i="156"/>
  <c r="T2" i="156" s="1"/>
  <c r="U2" i="156"/>
  <c r="R6" i="156"/>
  <c r="U6" i="156"/>
  <c r="R3" i="156"/>
  <c r="T3" i="156" s="1"/>
  <c r="U3" i="156"/>
  <c r="R9" i="156"/>
  <c r="T9" i="156" s="1"/>
  <c r="U9" i="156"/>
  <c r="R5" i="156"/>
  <c r="U5" i="156"/>
  <c r="R25" i="156"/>
  <c r="T25" i="156" s="1"/>
  <c r="U25" i="156"/>
  <c r="R60" i="156"/>
  <c r="T60" i="156" s="1"/>
  <c r="U60" i="156"/>
  <c r="R13" i="156"/>
  <c r="T13" i="156" s="1"/>
  <c r="U13" i="156"/>
  <c r="R65" i="156"/>
  <c r="T65" i="156" s="1"/>
  <c r="U65" i="156"/>
  <c r="R19" i="156"/>
  <c r="T19" i="156" s="1"/>
  <c r="U19" i="156"/>
  <c r="R66" i="156"/>
  <c r="U66" i="156"/>
  <c r="R20" i="156"/>
  <c r="T20" i="156" s="1"/>
  <c r="U20" i="156"/>
  <c r="R96" i="156"/>
  <c r="T96" i="156" s="1"/>
  <c r="U96" i="156"/>
  <c r="R21" i="156"/>
  <c r="T21" i="156" s="1"/>
  <c r="U21" i="156"/>
  <c r="R97" i="156"/>
  <c r="U97" i="156"/>
  <c r="R22" i="156"/>
  <c r="T22" i="156" s="1"/>
  <c r="U22" i="156"/>
  <c r="R26" i="156"/>
  <c r="T26" i="156" s="1"/>
  <c r="U26" i="156"/>
  <c r="R117" i="156"/>
  <c r="T117" i="156" s="1"/>
  <c r="U117" i="156"/>
  <c r="R105" i="156"/>
  <c r="U105" i="156"/>
  <c r="R27" i="156"/>
  <c r="T27" i="156" s="1"/>
  <c r="U27" i="156"/>
  <c r="R118" i="156"/>
  <c r="T118" i="156" s="1"/>
  <c r="U118" i="156"/>
  <c r="R35" i="156"/>
  <c r="T35" i="156" s="1"/>
  <c r="U35" i="156"/>
  <c r="R36" i="156"/>
  <c r="U36" i="156"/>
  <c r="R43" i="156"/>
  <c r="T43" i="156" s="1"/>
  <c r="U43" i="156"/>
  <c r="R42" i="156"/>
  <c r="T42" i="156" s="1"/>
  <c r="U42" i="156"/>
  <c r="R38" i="156"/>
  <c r="T38" i="156" s="1"/>
  <c r="U38" i="156"/>
  <c r="R44" i="156"/>
  <c r="T44" i="156" s="1"/>
  <c r="U44" i="156"/>
  <c r="R39" i="156"/>
  <c r="T39" i="156" s="1"/>
  <c r="U39" i="156"/>
  <c r="R45" i="156"/>
  <c r="T45" i="156" s="1"/>
  <c r="U45" i="156"/>
  <c r="R40" i="156"/>
  <c r="T40" i="156" s="1"/>
  <c r="U40" i="156"/>
  <c r="R48" i="156"/>
  <c r="T48" i="156" s="1"/>
  <c r="U48" i="156"/>
  <c r="R54" i="156"/>
  <c r="T54" i="156" s="1"/>
  <c r="U54" i="156"/>
  <c r="R56" i="156"/>
  <c r="T56" i="156" s="1"/>
  <c r="U56" i="156"/>
  <c r="R51" i="156"/>
  <c r="T51" i="156" s="1"/>
  <c r="U51" i="156"/>
  <c r="R29" i="156"/>
  <c r="T29" i="156" s="1"/>
  <c r="U29" i="156"/>
  <c r="R57" i="156"/>
  <c r="T57" i="156" s="1"/>
  <c r="U57" i="156"/>
  <c r="R67" i="156"/>
  <c r="T67" i="156" s="1"/>
  <c r="U67" i="156"/>
  <c r="R32" i="156"/>
  <c r="T32" i="156" s="1"/>
  <c r="U32" i="156"/>
  <c r="R70" i="156"/>
  <c r="T70" i="156" s="1"/>
  <c r="U70" i="156"/>
  <c r="R69" i="156"/>
  <c r="T69" i="156" s="1"/>
  <c r="U69" i="156"/>
  <c r="R72" i="156"/>
  <c r="T72" i="156" s="1"/>
  <c r="U72" i="156"/>
  <c r="R73" i="156"/>
  <c r="T73" i="156" s="1"/>
  <c r="U73" i="156"/>
  <c r="R34" i="156"/>
  <c r="T34" i="156" s="1"/>
  <c r="U34" i="156"/>
  <c r="R75" i="156"/>
  <c r="T75" i="156" s="1"/>
  <c r="U75" i="156"/>
  <c r="R76" i="156"/>
  <c r="T76" i="156" s="1"/>
  <c r="U76" i="156"/>
  <c r="R77" i="156"/>
  <c r="T77" i="156" s="1"/>
  <c r="U77" i="156"/>
  <c r="R83" i="156"/>
  <c r="T83" i="156" s="1"/>
  <c r="U83" i="156"/>
  <c r="R79" i="156"/>
  <c r="T79" i="156" s="1"/>
  <c r="U79" i="156"/>
  <c r="R78" i="156"/>
  <c r="T78" i="156" s="1"/>
  <c r="U78" i="156"/>
  <c r="R93" i="156"/>
  <c r="T93" i="156" s="1"/>
  <c r="U93" i="156"/>
  <c r="R80" i="156"/>
  <c r="T80" i="156" s="1"/>
  <c r="U80" i="156"/>
  <c r="R94" i="156"/>
  <c r="T94" i="156" s="1"/>
  <c r="U94" i="156"/>
  <c r="R81" i="156"/>
  <c r="T81" i="156" s="1"/>
  <c r="U81" i="156"/>
  <c r="R119" i="156"/>
  <c r="T119" i="156" s="1"/>
  <c r="U119" i="156"/>
  <c r="R125" i="156"/>
  <c r="S125" i="156" s="1"/>
  <c r="U125" i="156"/>
  <c r="R108" i="156"/>
  <c r="S108" i="156" s="1"/>
  <c r="U108" i="156"/>
  <c r="R124" i="156"/>
  <c r="S124" i="156" s="1"/>
  <c r="U124" i="156"/>
  <c r="R71" i="156"/>
  <c r="S71" i="156" s="1"/>
  <c r="U71" i="156"/>
  <c r="Q138" i="156"/>
  <c r="Q89" i="156"/>
  <c r="Q112" i="156"/>
  <c r="Q90" i="156"/>
  <c r="Q100" i="156"/>
  <c r="Q47" i="156"/>
  <c r="Q8" i="156"/>
  <c r="Q68" i="156"/>
  <c r="Q82" i="156"/>
  <c r="Q2" i="156"/>
  <c r="Q6" i="156"/>
  <c r="Q3" i="156"/>
  <c r="Q9" i="156"/>
  <c r="Q5" i="156"/>
  <c r="Q25" i="156"/>
  <c r="Q60" i="156"/>
  <c r="Q13" i="156"/>
  <c r="Q65" i="156"/>
  <c r="Q19" i="156"/>
  <c r="Q66" i="156"/>
  <c r="Q20" i="156"/>
  <c r="Q96" i="156"/>
  <c r="Q21" i="156"/>
  <c r="Q97" i="156"/>
  <c r="Q22" i="156"/>
  <c r="Q26" i="156"/>
  <c r="Q117" i="156"/>
  <c r="Q105" i="156"/>
  <c r="Q27" i="156"/>
  <c r="Q118" i="156"/>
  <c r="Q35" i="156"/>
  <c r="Q36" i="156"/>
  <c r="Q43" i="156"/>
  <c r="Q42" i="156"/>
  <c r="Q38" i="156"/>
  <c r="Q44" i="156"/>
  <c r="Q39" i="156"/>
  <c r="Q45" i="156"/>
  <c r="Q40" i="156"/>
  <c r="Q48" i="156"/>
  <c r="Q54" i="156"/>
  <c r="Q56" i="156"/>
  <c r="Q51" i="156"/>
  <c r="Q29" i="156"/>
  <c r="Q57" i="156"/>
  <c r="Q67" i="156"/>
  <c r="Q32" i="156"/>
  <c r="Q70" i="156"/>
  <c r="Q69" i="156"/>
  <c r="Q72" i="156"/>
  <c r="Q73" i="156"/>
  <c r="Q34" i="156"/>
  <c r="Q75" i="156"/>
  <c r="Q76" i="156"/>
  <c r="Q77" i="156"/>
  <c r="Q83" i="156"/>
  <c r="Q79" i="156"/>
  <c r="Q78" i="156"/>
  <c r="Q93" i="156"/>
  <c r="Q80" i="156"/>
  <c r="Q94" i="156"/>
  <c r="Q81" i="156"/>
  <c r="Q119" i="156"/>
  <c r="Q125" i="156"/>
  <c r="Q108" i="156"/>
  <c r="Q124" i="156"/>
  <c r="Q71" i="156"/>
  <c r="B138" i="156"/>
  <c r="B89" i="156"/>
  <c r="B112" i="156"/>
  <c r="B90" i="156"/>
  <c r="B100" i="156"/>
  <c r="B47" i="156"/>
  <c r="B8" i="156"/>
  <c r="B68" i="156"/>
  <c r="B82" i="156"/>
  <c r="B2" i="156"/>
  <c r="B6" i="156"/>
  <c r="B3" i="156"/>
  <c r="B9" i="156"/>
  <c r="B5" i="156"/>
  <c r="B25" i="156"/>
  <c r="B60" i="156"/>
  <c r="B13" i="156"/>
  <c r="B65" i="156"/>
  <c r="B19" i="156"/>
  <c r="B66" i="156"/>
  <c r="B20" i="156"/>
  <c r="B96" i="156"/>
  <c r="B21" i="156"/>
  <c r="B97" i="156"/>
  <c r="B22" i="156"/>
  <c r="B26" i="156"/>
  <c r="B117" i="156"/>
  <c r="B105" i="156"/>
  <c r="B27" i="156"/>
  <c r="B118" i="156"/>
  <c r="B35" i="156"/>
  <c r="B36" i="156"/>
  <c r="B43" i="156"/>
  <c r="B42" i="156"/>
  <c r="B38" i="156"/>
  <c r="B44" i="156"/>
  <c r="B39" i="156"/>
  <c r="B45" i="156"/>
  <c r="B40" i="156"/>
  <c r="B48" i="156"/>
  <c r="B54" i="156"/>
  <c r="B56" i="156"/>
  <c r="B51" i="156"/>
  <c r="B29" i="156"/>
  <c r="B57" i="156"/>
  <c r="B67" i="156"/>
  <c r="B32" i="156"/>
  <c r="B70" i="156"/>
  <c r="B69" i="156"/>
  <c r="B72" i="156"/>
  <c r="B73" i="156"/>
  <c r="B34" i="156"/>
  <c r="B75" i="156"/>
  <c r="B76" i="156"/>
  <c r="B77" i="156"/>
  <c r="B83" i="156"/>
  <c r="B79" i="156"/>
  <c r="B78" i="156"/>
  <c r="B93" i="156"/>
  <c r="B80" i="156"/>
  <c r="B94" i="156"/>
  <c r="B81" i="156"/>
  <c r="B119" i="156"/>
  <c r="B125" i="156"/>
  <c r="B108" i="156"/>
  <c r="B124" i="156"/>
  <c r="B71" i="156"/>
  <c r="B127" i="156"/>
  <c r="B113" i="156"/>
  <c r="B14" i="156"/>
  <c r="B95" i="156"/>
  <c r="B98" i="156"/>
  <c r="B41" i="156"/>
  <c r="B49" i="156"/>
  <c r="B55" i="156"/>
  <c r="B50" i="156"/>
  <c r="B30" i="156"/>
  <c r="B33" i="156"/>
  <c r="B74" i="156"/>
  <c r="B106" i="156"/>
  <c r="B129" i="156"/>
  <c r="B104" i="156"/>
  <c r="X11" i="156" l="1"/>
  <c r="X87" i="156"/>
  <c r="AA87" i="156" s="1"/>
  <c r="AA11" i="156"/>
  <c r="X18" i="156"/>
  <c r="AA18" i="156" s="1"/>
  <c r="Y15" i="156"/>
  <c r="Z15" i="156" s="1"/>
  <c r="W15" i="156"/>
  <c r="V15" i="156"/>
  <c r="X24" i="156"/>
  <c r="AA24" i="156" s="1"/>
  <c r="S34" i="156"/>
  <c r="S94" i="156"/>
  <c r="S48" i="156"/>
  <c r="S75" i="156"/>
  <c r="S51" i="156"/>
  <c r="S119" i="156"/>
  <c r="S76" i="156"/>
  <c r="S27" i="156"/>
  <c r="S69" i="156"/>
  <c r="S45" i="156"/>
  <c r="S100" i="156"/>
  <c r="S83" i="156"/>
  <c r="S54" i="156"/>
  <c r="S25" i="156"/>
  <c r="AS78" i="156"/>
  <c r="AW78" i="156"/>
  <c r="BA78" i="156"/>
  <c r="BE78" i="156"/>
  <c r="BJ78" i="156"/>
  <c r="AU78" i="156"/>
  <c r="BC78" i="156"/>
  <c r="BL78" i="156"/>
  <c r="AQ78" i="156"/>
  <c r="AY78" i="156"/>
  <c r="BG78" i="156"/>
  <c r="AS72" i="156"/>
  <c r="AW72" i="156"/>
  <c r="BA72" i="156"/>
  <c r="BE72" i="156"/>
  <c r="BJ72" i="156"/>
  <c r="AQ72" i="156"/>
  <c r="AY72" i="156"/>
  <c r="BG72" i="156"/>
  <c r="AU72" i="156"/>
  <c r="BC72" i="156"/>
  <c r="BL72" i="156"/>
  <c r="BJ105" i="156"/>
  <c r="AQ105" i="156"/>
  <c r="AU105" i="156"/>
  <c r="AY105" i="156"/>
  <c r="BC105" i="156"/>
  <c r="BG105" i="156"/>
  <c r="AS105" i="156"/>
  <c r="BA105" i="156"/>
  <c r="BL105" i="156"/>
  <c r="AW105" i="156"/>
  <c r="BE105" i="156"/>
  <c r="BJ66" i="156"/>
  <c r="AQ66" i="156"/>
  <c r="AU66" i="156"/>
  <c r="AY66" i="156"/>
  <c r="BC66" i="156"/>
  <c r="BG66" i="156"/>
  <c r="AS66" i="156"/>
  <c r="BA66" i="156"/>
  <c r="BL66" i="156"/>
  <c r="AW66" i="156"/>
  <c r="BE66" i="156"/>
  <c r="BJ5" i="156"/>
  <c r="AQ5" i="156"/>
  <c r="AU5" i="156"/>
  <c r="AY5" i="156"/>
  <c r="BC5" i="156"/>
  <c r="BG5" i="156"/>
  <c r="AS5" i="156"/>
  <c r="BA5" i="156"/>
  <c r="BL5" i="156"/>
  <c r="AW5" i="156"/>
  <c r="BE5" i="156"/>
  <c r="BJ6" i="156"/>
  <c r="AQ6" i="156"/>
  <c r="AU6" i="156"/>
  <c r="AY6" i="156"/>
  <c r="BC6" i="156"/>
  <c r="BG6" i="156"/>
  <c r="AS6" i="156"/>
  <c r="BA6" i="156"/>
  <c r="AW6" i="156"/>
  <c r="BE6" i="156"/>
  <c r="BL6" i="156"/>
  <c r="BJ68" i="156"/>
  <c r="AQ68" i="156"/>
  <c r="AU68" i="156"/>
  <c r="AY68" i="156"/>
  <c r="BC68" i="156"/>
  <c r="BG68" i="156"/>
  <c r="BL68" i="156"/>
  <c r="BA68" i="156"/>
  <c r="BE68" i="156"/>
  <c r="AS68" i="156"/>
  <c r="AW68" i="156"/>
  <c r="AQ112" i="156"/>
  <c r="AU112" i="156"/>
  <c r="AY112" i="156"/>
  <c r="BC112" i="156"/>
  <c r="BG112" i="156"/>
  <c r="BL112" i="156"/>
  <c r="AS112" i="156"/>
  <c r="AW112" i="156"/>
  <c r="BA112" i="156"/>
  <c r="BE112" i="156"/>
  <c r="BJ112" i="156"/>
  <c r="AQ138" i="156"/>
  <c r="AU138" i="156"/>
  <c r="AY138" i="156"/>
  <c r="BC138" i="156"/>
  <c r="BG138" i="156"/>
  <c r="BL138" i="156"/>
  <c r="AS138" i="156"/>
  <c r="AW138" i="156"/>
  <c r="BA138" i="156"/>
  <c r="BE138" i="156"/>
  <c r="BJ138" i="156"/>
  <c r="AS81" i="156"/>
  <c r="AW81" i="156"/>
  <c r="BA81" i="156"/>
  <c r="BE81" i="156"/>
  <c r="BJ81" i="156"/>
  <c r="AQ81" i="156"/>
  <c r="AY81" i="156"/>
  <c r="BG81" i="156"/>
  <c r="AU81" i="156"/>
  <c r="BC81" i="156"/>
  <c r="BL81" i="156"/>
  <c r="AS67" i="156"/>
  <c r="AW67" i="156"/>
  <c r="BA67" i="156"/>
  <c r="BE67" i="156"/>
  <c r="BJ67" i="156"/>
  <c r="AU67" i="156"/>
  <c r="BC67" i="156"/>
  <c r="BL67" i="156"/>
  <c r="AQ67" i="156"/>
  <c r="AY67" i="156"/>
  <c r="BG67" i="156"/>
  <c r="BL39" i="156"/>
  <c r="AS39" i="156"/>
  <c r="AW39" i="156"/>
  <c r="BA39" i="156"/>
  <c r="BE39" i="156"/>
  <c r="BJ39" i="156"/>
  <c r="AU39" i="156"/>
  <c r="BC39" i="156"/>
  <c r="AQ39" i="156"/>
  <c r="BG39" i="156"/>
  <c r="AY39" i="156"/>
  <c r="BL42" i="156"/>
  <c r="AS42" i="156"/>
  <c r="AW42" i="156"/>
  <c r="BA42" i="156"/>
  <c r="BE42" i="156"/>
  <c r="BJ42" i="156"/>
  <c r="AQ42" i="156"/>
  <c r="BG42" i="156"/>
  <c r="AU42" i="156"/>
  <c r="AY42" i="156"/>
  <c r="BC42" i="156"/>
  <c r="BL43" i="156"/>
  <c r="AS43" i="156"/>
  <c r="AW43" i="156"/>
  <c r="BA43" i="156"/>
  <c r="BE43" i="156"/>
  <c r="BJ43" i="156"/>
  <c r="BC43" i="156"/>
  <c r="AQ43" i="156"/>
  <c r="BG43" i="156"/>
  <c r="AU43" i="156"/>
  <c r="AY43" i="156"/>
  <c r="BJ97" i="156"/>
  <c r="AQ97" i="156"/>
  <c r="AU97" i="156"/>
  <c r="AY97" i="156"/>
  <c r="BC97" i="156"/>
  <c r="BG97" i="156"/>
  <c r="AW97" i="156"/>
  <c r="BE97" i="156"/>
  <c r="AS97" i="156"/>
  <c r="BA97" i="156"/>
  <c r="BL97" i="156"/>
  <c r="BL119" i="156"/>
  <c r="AS119" i="156"/>
  <c r="AW119" i="156"/>
  <c r="BA119" i="156"/>
  <c r="BE119" i="156"/>
  <c r="BJ119" i="156"/>
  <c r="AU119" i="156"/>
  <c r="BC119" i="156"/>
  <c r="AY119" i="156"/>
  <c r="BG119" i="156"/>
  <c r="AQ119" i="156"/>
  <c r="BL94" i="156"/>
  <c r="AS94" i="156"/>
  <c r="AW94" i="156"/>
  <c r="BA94" i="156"/>
  <c r="BE94" i="156"/>
  <c r="AQ94" i="156"/>
  <c r="AY94" i="156"/>
  <c r="BG94" i="156"/>
  <c r="BJ94" i="156"/>
  <c r="AU94" i="156"/>
  <c r="BC94" i="156"/>
  <c r="BL77" i="156"/>
  <c r="AS77" i="156"/>
  <c r="AW77" i="156"/>
  <c r="BA77" i="156"/>
  <c r="BE77" i="156"/>
  <c r="AQ77" i="156"/>
  <c r="AY77" i="156"/>
  <c r="BG77" i="156"/>
  <c r="BJ77" i="156"/>
  <c r="AU77" i="156"/>
  <c r="BC77" i="156"/>
  <c r="BL69" i="156"/>
  <c r="AS69" i="156"/>
  <c r="AW69" i="156"/>
  <c r="BA69" i="156"/>
  <c r="BE69" i="156"/>
  <c r="AQ69" i="156"/>
  <c r="AY69" i="156"/>
  <c r="BG69" i="156"/>
  <c r="BJ69" i="156"/>
  <c r="AU69" i="156"/>
  <c r="BC69" i="156"/>
  <c r="BL57" i="156"/>
  <c r="AS57" i="156"/>
  <c r="AW57" i="156"/>
  <c r="BA57" i="156"/>
  <c r="BE57" i="156"/>
  <c r="BJ57" i="156"/>
  <c r="AU57" i="156"/>
  <c r="BC57" i="156"/>
  <c r="BG57" i="156"/>
  <c r="AQ57" i="156"/>
  <c r="AY57" i="156"/>
  <c r="BL56" i="156"/>
  <c r="AS56" i="156"/>
  <c r="AW56" i="156"/>
  <c r="BA56" i="156"/>
  <c r="BE56" i="156"/>
  <c r="AQ56" i="156"/>
  <c r="AY56" i="156"/>
  <c r="BG56" i="156"/>
  <c r="BJ56" i="156"/>
  <c r="BC56" i="156"/>
  <c r="AU56" i="156"/>
  <c r="BL48" i="156"/>
  <c r="AS48" i="156"/>
  <c r="AW48" i="156"/>
  <c r="BA48" i="156"/>
  <c r="BE48" i="156"/>
  <c r="BJ48" i="156"/>
  <c r="AU48" i="156"/>
  <c r="BC48" i="156"/>
  <c r="AY48" i="156"/>
  <c r="BG48" i="156"/>
  <c r="AQ48" i="156"/>
  <c r="BL45" i="156"/>
  <c r="AS45" i="156"/>
  <c r="AW45" i="156"/>
  <c r="BA45" i="156"/>
  <c r="BE45" i="156"/>
  <c r="AQ45" i="156"/>
  <c r="AY45" i="156"/>
  <c r="BG45" i="156"/>
  <c r="BJ45" i="156"/>
  <c r="AU45" i="156"/>
  <c r="BC45" i="156"/>
  <c r="AQ44" i="156"/>
  <c r="AU44" i="156"/>
  <c r="AY44" i="156"/>
  <c r="BC44" i="156"/>
  <c r="BG44" i="156"/>
  <c r="BL44" i="156"/>
  <c r="AS44" i="156"/>
  <c r="BA44" i="156"/>
  <c r="BJ44" i="156"/>
  <c r="AW44" i="156"/>
  <c r="BE44" i="156"/>
  <c r="AQ36" i="156"/>
  <c r="AU36" i="156"/>
  <c r="AY36" i="156"/>
  <c r="BC36" i="156"/>
  <c r="BG36" i="156"/>
  <c r="BL36" i="156"/>
  <c r="AS36" i="156"/>
  <c r="AW36" i="156"/>
  <c r="BA36" i="156"/>
  <c r="BE36" i="156"/>
  <c r="BJ36" i="156"/>
  <c r="AQ35" i="156"/>
  <c r="AU35" i="156"/>
  <c r="AY35" i="156"/>
  <c r="BC35" i="156"/>
  <c r="BG35" i="156"/>
  <c r="BL35" i="156"/>
  <c r="AS35" i="156"/>
  <c r="AW35" i="156"/>
  <c r="BA35" i="156"/>
  <c r="BE35" i="156"/>
  <c r="BJ35" i="156"/>
  <c r="AS117" i="156"/>
  <c r="AW117" i="156"/>
  <c r="BA117" i="156"/>
  <c r="BE117" i="156"/>
  <c r="BJ117" i="156"/>
  <c r="AU117" i="156"/>
  <c r="BC117" i="156"/>
  <c r="BL117" i="156"/>
  <c r="AY117" i="156"/>
  <c r="BG117" i="156"/>
  <c r="AQ117" i="156"/>
  <c r="AS21" i="156"/>
  <c r="AW21" i="156"/>
  <c r="BA21" i="156"/>
  <c r="BE21" i="156"/>
  <c r="BJ21" i="156"/>
  <c r="BL21" i="156"/>
  <c r="AQ21" i="156"/>
  <c r="AY21" i="156"/>
  <c r="BG21" i="156"/>
  <c r="AU21" i="156"/>
  <c r="BC21" i="156"/>
  <c r="AS19" i="156"/>
  <c r="AW19" i="156"/>
  <c r="BA19" i="156"/>
  <c r="BE19" i="156"/>
  <c r="BJ19" i="156"/>
  <c r="AU19" i="156"/>
  <c r="BC19" i="156"/>
  <c r="BL19" i="156"/>
  <c r="AQ19" i="156"/>
  <c r="AY19" i="156"/>
  <c r="BG19" i="156"/>
  <c r="AS13" i="156"/>
  <c r="AW13" i="156"/>
  <c r="BA13" i="156"/>
  <c r="BE13" i="156"/>
  <c r="BJ13" i="156"/>
  <c r="BL13" i="156"/>
  <c r="AQ13" i="156"/>
  <c r="AY13" i="156"/>
  <c r="BG13" i="156"/>
  <c r="AU13" i="156"/>
  <c r="BC13" i="156"/>
  <c r="AS9" i="156"/>
  <c r="AW9" i="156"/>
  <c r="BA9" i="156"/>
  <c r="BE9" i="156"/>
  <c r="BJ9" i="156"/>
  <c r="AU9" i="156"/>
  <c r="BC9" i="156"/>
  <c r="BL9" i="156"/>
  <c r="AQ9" i="156"/>
  <c r="AY9" i="156"/>
  <c r="BG9" i="156"/>
  <c r="AS2" i="156"/>
  <c r="AW2" i="156"/>
  <c r="BA2" i="156"/>
  <c r="BE2" i="156"/>
  <c r="BJ2" i="156"/>
  <c r="AQ2" i="156"/>
  <c r="AY2" i="156"/>
  <c r="BG2" i="156"/>
  <c r="AU2" i="156"/>
  <c r="BC2" i="156"/>
  <c r="BL2" i="156"/>
  <c r="AS8" i="156"/>
  <c r="AW8" i="156"/>
  <c r="BA8" i="156"/>
  <c r="BE8" i="156"/>
  <c r="BJ8" i="156"/>
  <c r="AQ8" i="156"/>
  <c r="AU8" i="156"/>
  <c r="AY8" i="156"/>
  <c r="BC8" i="156"/>
  <c r="BG8" i="156"/>
  <c r="BL8" i="156"/>
  <c r="BJ90" i="156"/>
  <c r="AQ90" i="156"/>
  <c r="AU90" i="156"/>
  <c r="AW90" i="156"/>
  <c r="BC90" i="156"/>
  <c r="AY90" i="156"/>
  <c r="AS90" i="156"/>
  <c r="BE90" i="156"/>
  <c r="BG90" i="156"/>
  <c r="BL90" i="156"/>
  <c r="BA90" i="156"/>
  <c r="BL71" i="156"/>
  <c r="AS71" i="156"/>
  <c r="AW71" i="156"/>
  <c r="BA71" i="156"/>
  <c r="BE71" i="156"/>
  <c r="BJ71" i="156"/>
  <c r="BC71" i="156"/>
  <c r="AQ71" i="156"/>
  <c r="BG71" i="156"/>
  <c r="AU71" i="156"/>
  <c r="AY71" i="156"/>
  <c r="BL108" i="156"/>
  <c r="AS108" i="156"/>
  <c r="AW108" i="156"/>
  <c r="BA108" i="156"/>
  <c r="BE108" i="156"/>
  <c r="BJ108" i="156"/>
  <c r="AY108" i="156"/>
  <c r="BC108" i="156"/>
  <c r="AQ108" i="156"/>
  <c r="BG108" i="156"/>
  <c r="AU108" i="156"/>
  <c r="AQ80" i="156"/>
  <c r="AU80" i="156"/>
  <c r="AY80" i="156"/>
  <c r="BC80" i="156"/>
  <c r="BG80" i="156"/>
  <c r="BL80" i="156"/>
  <c r="AW80" i="156"/>
  <c r="BE80" i="156"/>
  <c r="AS80" i="156"/>
  <c r="BA80" i="156"/>
  <c r="BJ80" i="156"/>
  <c r="AQ79" i="156"/>
  <c r="AU79" i="156"/>
  <c r="AY79" i="156"/>
  <c r="BC79" i="156"/>
  <c r="BG79" i="156"/>
  <c r="BL79" i="156"/>
  <c r="AS79" i="156"/>
  <c r="BA79" i="156"/>
  <c r="BJ79" i="156"/>
  <c r="AW79" i="156"/>
  <c r="BE79" i="156"/>
  <c r="AQ76" i="156"/>
  <c r="AU76" i="156"/>
  <c r="AY76" i="156"/>
  <c r="BC76" i="156"/>
  <c r="BG76" i="156"/>
  <c r="BL76" i="156"/>
  <c r="AW76" i="156"/>
  <c r="BE76" i="156"/>
  <c r="AS76" i="156"/>
  <c r="BA76" i="156"/>
  <c r="BJ76" i="156"/>
  <c r="AQ34" i="156"/>
  <c r="AU34" i="156"/>
  <c r="AY34" i="156"/>
  <c r="BC34" i="156"/>
  <c r="BG34" i="156"/>
  <c r="BL34" i="156"/>
  <c r="AS34" i="156"/>
  <c r="BA34" i="156"/>
  <c r="BJ34" i="156"/>
  <c r="AW34" i="156"/>
  <c r="BE34" i="156"/>
  <c r="AQ70" i="156"/>
  <c r="AU70" i="156"/>
  <c r="AY70" i="156"/>
  <c r="BC70" i="156"/>
  <c r="BG70" i="156"/>
  <c r="BL70" i="156"/>
  <c r="AW70" i="156"/>
  <c r="BE70" i="156"/>
  <c r="AS70" i="156"/>
  <c r="BA70" i="156"/>
  <c r="BJ70" i="156"/>
  <c r="AQ29" i="156"/>
  <c r="AU29" i="156"/>
  <c r="AY29" i="156"/>
  <c r="BC29" i="156"/>
  <c r="BG29" i="156"/>
  <c r="BL29" i="156"/>
  <c r="AS29" i="156"/>
  <c r="BA29" i="156"/>
  <c r="BJ29" i="156"/>
  <c r="AW29" i="156"/>
  <c r="BE29" i="156"/>
  <c r="BJ38" i="156"/>
  <c r="AQ38" i="156"/>
  <c r="AU38" i="156"/>
  <c r="AY38" i="156"/>
  <c r="BC38" i="156"/>
  <c r="BG38" i="156"/>
  <c r="BL38" i="156"/>
  <c r="AW38" i="156"/>
  <c r="BA38" i="156"/>
  <c r="AS38" i="156"/>
  <c r="BE38" i="156"/>
  <c r="AS118" i="156"/>
  <c r="AW118" i="156"/>
  <c r="BA118" i="156"/>
  <c r="AU118" i="156"/>
  <c r="BJ118" i="156"/>
  <c r="BC118" i="156"/>
  <c r="BG118" i="156"/>
  <c r="AQ118" i="156"/>
  <c r="AY118" i="156"/>
  <c r="BL118" i="156"/>
  <c r="BE118" i="156"/>
  <c r="BL26" i="156"/>
  <c r="AS26" i="156"/>
  <c r="AW26" i="156"/>
  <c r="BA26" i="156"/>
  <c r="BE26" i="156"/>
  <c r="AQ26" i="156"/>
  <c r="AY26" i="156"/>
  <c r="BG26" i="156"/>
  <c r="BJ26" i="156"/>
  <c r="AU26" i="156"/>
  <c r="BC26" i="156"/>
  <c r="BL96" i="156"/>
  <c r="AS96" i="156"/>
  <c r="AW96" i="156"/>
  <c r="BA96" i="156"/>
  <c r="BE96" i="156"/>
  <c r="AU96" i="156"/>
  <c r="BC96" i="156"/>
  <c r="AQ96" i="156"/>
  <c r="AY96" i="156"/>
  <c r="BG96" i="156"/>
  <c r="BJ96" i="156"/>
  <c r="BL65" i="156"/>
  <c r="AS65" i="156"/>
  <c r="AW65" i="156"/>
  <c r="BA65" i="156"/>
  <c r="BE65" i="156"/>
  <c r="AQ65" i="156"/>
  <c r="AY65" i="156"/>
  <c r="BG65" i="156"/>
  <c r="BJ65" i="156"/>
  <c r="AU65" i="156"/>
  <c r="BC65" i="156"/>
  <c r="BL60" i="156"/>
  <c r="AS60" i="156"/>
  <c r="AW60" i="156"/>
  <c r="BA60" i="156"/>
  <c r="BE60" i="156"/>
  <c r="AU60" i="156"/>
  <c r="BC60" i="156"/>
  <c r="AQ60" i="156"/>
  <c r="AY60" i="156"/>
  <c r="BG60" i="156"/>
  <c r="BJ60" i="156"/>
  <c r="BL3" i="156"/>
  <c r="AS3" i="156"/>
  <c r="AW3" i="156"/>
  <c r="BA3" i="156"/>
  <c r="BE3" i="156"/>
  <c r="AQ3" i="156"/>
  <c r="AY3" i="156"/>
  <c r="BG3" i="156"/>
  <c r="BJ3" i="156"/>
  <c r="AU3" i="156"/>
  <c r="BC3" i="156"/>
  <c r="BL47" i="156"/>
  <c r="AS47" i="156"/>
  <c r="AW47" i="156"/>
  <c r="BA47" i="156"/>
  <c r="BE47" i="156"/>
  <c r="BJ47" i="156"/>
  <c r="AY47" i="156"/>
  <c r="BC47" i="156"/>
  <c r="AQ47" i="156"/>
  <c r="BG47" i="156"/>
  <c r="AU47" i="156"/>
  <c r="BL89" i="156"/>
  <c r="AS89" i="156"/>
  <c r="AW89" i="156"/>
  <c r="BA89" i="156"/>
  <c r="AU89" i="156"/>
  <c r="BG89" i="156"/>
  <c r="BC89" i="156"/>
  <c r="BE89" i="156"/>
  <c r="BJ89" i="156"/>
  <c r="AQ89" i="156"/>
  <c r="AY89" i="156"/>
  <c r="S93" i="156"/>
  <c r="S79" i="156"/>
  <c r="S77" i="156"/>
  <c r="S32" i="156"/>
  <c r="S29" i="156"/>
  <c r="S56" i="156"/>
  <c r="S38" i="156"/>
  <c r="S22" i="156"/>
  <c r="BJ124" i="156"/>
  <c r="AQ124" i="156"/>
  <c r="AU124" i="156"/>
  <c r="AY124" i="156"/>
  <c r="BC124" i="156"/>
  <c r="BG124" i="156"/>
  <c r="BL124" i="156"/>
  <c r="BA124" i="156"/>
  <c r="BE124" i="156"/>
  <c r="AS124" i="156"/>
  <c r="AW124" i="156"/>
  <c r="AQ125" i="156"/>
  <c r="AU125" i="156"/>
  <c r="AY125" i="156"/>
  <c r="BC125" i="156"/>
  <c r="BG125" i="156"/>
  <c r="BL125" i="156"/>
  <c r="AS125" i="156"/>
  <c r="AW125" i="156"/>
  <c r="BA125" i="156"/>
  <c r="BE125" i="156"/>
  <c r="BJ125" i="156"/>
  <c r="BJ93" i="156"/>
  <c r="AQ93" i="156"/>
  <c r="AU93" i="156"/>
  <c r="AY93" i="156"/>
  <c r="BC93" i="156"/>
  <c r="BG93" i="156"/>
  <c r="BL93" i="156"/>
  <c r="AW93" i="156"/>
  <c r="BE93" i="156"/>
  <c r="AS93" i="156"/>
  <c r="BA93" i="156"/>
  <c r="BJ83" i="156"/>
  <c r="AQ83" i="156"/>
  <c r="AU83" i="156"/>
  <c r="AY83" i="156"/>
  <c r="BC83" i="156"/>
  <c r="BG83" i="156"/>
  <c r="AS83" i="156"/>
  <c r="BA83" i="156"/>
  <c r="BL83" i="156"/>
  <c r="BE83" i="156"/>
  <c r="AW83" i="156"/>
  <c r="BJ75" i="156"/>
  <c r="AQ75" i="156"/>
  <c r="AU75" i="156"/>
  <c r="AY75" i="156"/>
  <c r="BC75" i="156"/>
  <c r="BG75" i="156"/>
  <c r="BL75" i="156"/>
  <c r="AW75" i="156"/>
  <c r="BE75" i="156"/>
  <c r="BA75" i="156"/>
  <c r="AS75" i="156"/>
  <c r="BJ73" i="156"/>
  <c r="AQ73" i="156"/>
  <c r="AU73" i="156"/>
  <c r="AY73" i="156"/>
  <c r="BC73" i="156"/>
  <c r="BG73" i="156"/>
  <c r="AS73" i="156"/>
  <c r="BA73" i="156"/>
  <c r="BL73" i="156"/>
  <c r="AW73" i="156"/>
  <c r="BE73" i="156"/>
  <c r="BJ32" i="156"/>
  <c r="AQ32" i="156"/>
  <c r="AU32" i="156"/>
  <c r="AY32" i="156"/>
  <c r="BC32" i="156"/>
  <c r="BG32" i="156"/>
  <c r="BL32" i="156"/>
  <c r="AW32" i="156"/>
  <c r="BE32" i="156"/>
  <c r="AS32" i="156"/>
  <c r="BA32" i="156"/>
  <c r="BJ51" i="156"/>
  <c r="AQ51" i="156"/>
  <c r="AU51" i="156"/>
  <c r="AY51" i="156"/>
  <c r="BC51" i="156"/>
  <c r="BG51" i="156"/>
  <c r="AS51" i="156"/>
  <c r="BA51" i="156"/>
  <c r="BL51" i="156"/>
  <c r="AW51" i="156"/>
  <c r="BE51" i="156"/>
  <c r="BJ54" i="156"/>
  <c r="AQ54" i="156"/>
  <c r="AU54" i="156"/>
  <c r="AY54" i="156"/>
  <c r="BC54" i="156"/>
  <c r="BG54" i="156"/>
  <c r="BL54" i="156"/>
  <c r="AW54" i="156"/>
  <c r="BE54" i="156"/>
  <c r="AS54" i="156"/>
  <c r="BA54" i="156"/>
  <c r="BJ40" i="156"/>
  <c r="AQ40" i="156"/>
  <c r="AU40" i="156"/>
  <c r="AY40" i="156"/>
  <c r="BC40" i="156"/>
  <c r="BG40" i="156"/>
  <c r="AS40" i="156"/>
  <c r="BA40" i="156"/>
  <c r="BL40" i="156"/>
  <c r="AW40" i="156"/>
  <c r="BE40" i="156"/>
  <c r="AQ27" i="156"/>
  <c r="AU27" i="156"/>
  <c r="AY27" i="156"/>
  <c r="BC27" i="156"/>
  <c r="BG27" i="156"/>
  <c r="BL27" i="156"/>
  <c r="BJ27" i="156"/>
  <c r="AW27" i="156"/>
  <c r="BE27" i="156"/>
  <c r="AS27" i="156"/>
  <c r="BA27" i="156"/>
  <c r="AQ22" i="156"/>
  <c r="AU22" i="156"/>
  <c r="AY22" i="156"/>
  <c r="BC22" i="156"/>
  <c r="BG22" i="156"/>
  <c r="BL22" i="156"/>
  <c r="AS22" i="156"/>
  <c r="BA22" i="156"/>
  <c r="BJ22" i="156"/>
  <c r="AW22" i="156"/>
  <c r="BE22" i="156"/>
  <c r="AQ20" i="156"/>
  <c r="AU20" i="156"/>
  <c r="AY20" i="156"/>
  <c r="BC20" i="156"/>
  <c r="BG20" i="156"/>
  <c r="BL20" i="156"/>
  <c r="BJ20" i="156"/>
  <c r="AW20" i="156"/>
  <c r="BE20" i="156"/>
  <c r="AS20" i="156"/>
  <c r="BA20" i="156"/>
  <c r="AQ25" i="156"/>
  <c r="AU25" i="156"/>
  <c r="AY25" i="156"/>
  <c r="BC25" i="156"/>
  <c r="BG25" i="156"/>
  <c r="BL25" i="156"/>
  <c r="BJ25" i="156"/>
  <c r="AW25" i="156"/>
  <c r="BE25" i="156"/>
  <c r="BA25" i="156"/>
  <c r="AS25" i="156"/>
  <c r="AQ82" i="156"/>
  <c r="AU82" i="156"/>
  <c r="AY82" i="156"/>
  <c r="BC82" i="156"/>
  <c r="BG82" i="156"/>
  <c r="BL82" i="156"/>
  <c r="AS82" i="156"/>
  <c r="AW82" i="156"/>
  <c r="BA82" i="156"/>
  <c r="BE82" i="156"/>
  <c r="BJ82" i="156"/>
  <c r="AQ100" i="156"/>
  <c r="AU100" i="156"/>
  <c r="AY100" i="156"/>
  <c r="BC100" i="156"/>
  <c r="BG100" i="156"/>
  <c r="BL100" i="156"/>
  <c r="AS100" i="156"/>
  <c r="AW100" i="156"/>
  <c r="BA100" i="156"/>
  <c r="BE100" i="156"/>
  <c r="BJ100" i="156"/>
  <c r="S80" i="156"/>
  <c r="S73" i="156"/>
  <c r="S70" i="156"/>
  <c r="S57" i="156"/>
  <c r="S40" i="156"/>
  <c r="S44" i="156"/>
  <c r="S20" i="156"/>
  <c r="S82" i="156"/>
  <c r="T66" i="156"/>
  <c r="S66" i="156"/>
  <c r="T71" i="156"/>
  <c r="T124" i="156"/>
  <c r="T108" i="156"/>
  <c r="T125" i="156"/>
  <c r="T68" i="156"/>
  <c r="S68" i="156"/>
  <c r="T138" i="156"/>
  <c r="S138" i="156"/>
  <c r="T36" i="156"/>
  <c r="S36" i="156"/>
  <c r="T105" i="156"/>
  <c r="S105" i="156"/>
  <c r="T5" i="156"/>
  <c r="S5" i="156"/>
  <c r="T112" i="156"/>
  <c r="S112" i="156"/>
  <c r="S81" i="156"/>
  <c r="S78" i="156"/>
  <c r="S72" i="156"/>
  <c r="S67" i="156"/>
  <c r="S39" i="156"/>
  <c r="S42" i="156"/>
  <c r="S43" i="156"/>
  <c r="T97" i="156"/>
  <c r="S97" i="156"/>
  <c r="T6" i="156"/>
  <c r="S6" i="156"/>
  <c r="S118" i="156"/>
  <c r="S26" i="156"/>
  <c r="S96" i="156"/>
  <c r="S65" i="156"/>
  <c r="S60" i="156"/>
  <c r="S3" i="156"/>
  <c r="S47" i="156"/>
  <c r="S89" i="156"/>
  <c r="S35" i="156"/>
  <c r="S117" i="156"/>
  <c r="S21" i="156"/>
  <c r="S19" i="156"/>
  <c r="S13" i="156"/>
  <c r="S9" i="156"/>
  <c r="S2" i="156"/>
  <c r="S8" i="156"/>
  <c r="S90" i="156"/>
  <c r="X15" i="156" l="1"/>
  <c r="AA15" i="156" s="1"/>
  <c r="O103" i="55"/>
  <c r="P103" i="55"/>
  <c r="Q103" i="55"/>
  <c r="R103" i="55"/>
  <c r="C103" i="78"/>
  <c r="O67" i="55"/>
  <c r="P67" i="55"/>
  <c r="Q67" i="55"/>
  <c r="R67" i="55"/>
  <c r="C67" i="78"/>
  <c r="O25" i="55"/>
  <c r="P25" i="55"/>
  <c r="Q25" i="55"/>
  <c r="R25" i="55"/>
  <c r="C25" i="78"/>
  <c r="O20" i="55"/>
  <c r="P20" i="55"/>
  <c r="Q20" i="55"/>
  <c r="R20" i="55"/>
  <c r="C20" i="78"/>
  <c r="Y85" i="156" l="1"/>
  <c r="Z85" i="156" s="1"/>
  <c r="Y84" i="156"/>
  <c r="Z84" i="156" s="1"/>
  <c r="W84" i="156"/>
  <c r="W85" i="156"/>
  <c r="V84" i="156"/>
  <c r="V85" i="156"/>
  <c r="L43" i="180"/>
  <c r="D30" i="95"/>
  <c r="E30" i="95"/>
  <c r="F30" i="95"/>
  <c r="G30" i="95"/>
  <c r="H30" i="95"/>
  <c r="I30" i="95"/>
  <c r="J30" i="95"/>
  <c r="K30" i="95"/>
  <c r="L30" i="95"/>
  <c r="M30" i="95"/>
  <c r="N30" i="95"/>
  <c r="O30" i="95"/>
  <c r="C30" i="95"/>
  <c r="L28" i="95"/>
  <c r="M28" i="95"/>
  <c r="N28" i="95"/>
  <c r="O28" i="95"/>
  <c r="L29" i="95"/>
  <c r="M29" i="95"/>
  <c r="N29" i="95"/>
  <c r="O29" i="95"/>
  <c r="L31" i="95"/>
  <c r="M31" i="95"/>
  <c r="N31" i="95"/>
  <c r="O31" i="95"/>
  <c r="H28" i="95"/>
  <c r="I28" i="95"/>
  <c r="J28" i="95"/>
  <c r="K28" i="95"/>
  <c r="H29" i="95"/>
  <c r="I29" i="95"/>
  <c r="J29" i="95"/>
  <c r="K29" i="95"/>
  <c r="H31" i="95"/>
  <c r="I31" i="95"/>
  <c r="J31" i="95"/>
  <c r="K31" i="95"/>
  <c r="F28" i="95"/>
  <c r="G28" i="95"/>
  <c r="F29" i="95"/>
  <c r="G29" i="95"/>
  <c r="E28" i="95"/>
  <c r="E29" i="95"/>
  <c r="D28" i="95"/>
  <c r="D29" i="95"/>
  <c r="C28" i="95"/>
  <c r="C29" i="95"/>
  <c r="X84" i="156" l="1"/>
  <c r="AA84" i="156" s="1"/>
  <c r="X85" i="156"/>
  <c r="AA85" i="156" s="1"/>
  <c r="L41" i="180"/>
  <c r="L39" i="180"/>
  <c r="R28" i="95"/>
  <c r="S28" i="95"/>
  <c r="Q29" i="95"/>
  <c r="Q28" i="95"/>
  <c r="S29" i="95"/>
  <c r="R29" i="95"/>
  <c r="P29" i="95"/>
  <c r="P28" i="95"/>
  <c r="Q30" i="95"/>
  <c r="P30" i="95"/>
  <c r="S30" i="95"/>
  <c r="R30" i="95"/>
  <c r="O200" i="55"/>
  <c r="P200" i="55"/>
  <c r="Q200" i="55"/>
  <c r="R200" i="55"/>
  <c r="C200" i="78"/>
  <c r="O195" i="55"/>
  <c r="P195" i="55"/>
  <c r="Q195" i="55"/>
  <c r="R195" i="55"/>
  <c r="C195" i="78"/>
  <c r="O150" i="55"/>
  <c r="P150" i="55"/>
  <c r="Q150" i="55"/>
  <c r="R150" i="55"/>
  <c r="O134" i="55"/>
  <c r="P134" i="55"/>
  <c r="Q134" i="55"/>
  <c r="R134" i="55"/>
  <c r="O135" i="55"/>
  <c r="P135" i="55"/>
  <c r="Q135" i="55"/>
  <c r="R135" i="55"/>
  <c r="C150" i="78"/>
  <c r="O162" i="55"/>
  <c r="P162" i="55"/>
  <c r="Q162" i="55"/>
  <c r="R162" i="55"/>
  <c r="C162" i="78"/>
  <c r="C134" i="78"/>
  <c r="O122" i="55"/>
  <c r="P122" i="55"/>
  <c r="Q122" i="55"/>
  <c r="R122" i="55"/>
  <c r="C122" i="78"/>
  <c r="J12" i="70"/>
  <c r="K12" i="70" s="1"/>
  <c r="L12" i="70"/>
  <c r="M12" i="70" s="1"/>
  <c r="G12" i="70"/>
  <c r="H12" i="70" s="1"/>
  <c r="D12" i="70"/>
  <c r="E12" i="70"/>
  <c r="B12" i="70"/>
  <c r="I12" i="70" l="1"/>
  <c r="O115" i="55" l="1"/>
  <c r="N12" i="70" s="1"/>
  <c r="P115" i="55"/>
  <c r="O12" i="70" s="1"/>
  <c r="Q115" i="55"/>
  <c r="P12" i="70" s="1"/>
  <c r="T12" i="70" s="1"/>
  <c r="R115" i="55"/>
  <c r="C115" i="78"/>
  <c r="O59" i="55"/>
  <c r="P59" i="55"/>
  <c r="Q59" i="55"/>
  <c r="R59" i="55"/>
  <c r="C59" i="78"/>
  <c r="O53" i="55"/>
  <c r="P53" i="55"/>
  <c r="Q53" i="55"/>
  <c r="R53" i="55"/>
  <c r="C53" i="78"/>
  <c r="O18" i="55"/>
  <c r="P18" i="55"/>
  <c r="Q18" i="55"/>
  <c r="R18" i="55"/>
  <c r="C18" i="78"/>
  <c r="Q12" i="70" l="1"/>
  <c r="R12" i="70" s="1"/>
  <c r="S12" i="70" s="1"/>
  <c r="O3" i="55" l="1"/>
  <c r="P3" i="55"/>
  <c r="Q3" i="55"/>
  <c r="O4" i="55"/>
  <c r="P4" i="55"/>
  <c r="Q4" i="55"/>
  <c r="O5" i="55"/>
  <c r="P5" i="55"/>
  <c r="Q5" i="55"/>
  <c r="O6" i="55"/>
  <c r="P6" i="55"/>
  <c r="Q6" i="55"/>
  <c r="O7" i="55"/>
  <c r="P7" i="55"/>
  <c r="Q7" i="55"/>
  <c r="O9" i="55"/>
  <c r="P9" i="55"/>
  <c r="Q9" i="55"/>
  <c r="O11" i="55"/>
  <c r="P11" i="55"/>
  <c r="Q11" i="55"/>
  <c r="O12" i="55"/>
  <c r="P12" i="55"/>
  <c r="Q12" i="55"/>
  <c r="O13" i="55"/>
  <c r="P13" i="55"/>
  <c r="Q13" i="55"/>
  <c r="O16" i="55"/>
  <c r="P16" i="55"/>
  <c r="Q16" i="55"/>
  <c r="O17" i="55"/>
  <c r="V61" i="156" s="1"/>
  <c r="P17" i="55"/>
  <c r="W61" i="156" s="1"/>
  <c r="Q17" i="55"/>
  <c r="Y61" i="156" s="1"/>
  <c r="Z61" i="156" s="1"/>
  <c r="O19" i="55"/>
  <c r="P19" i="55"/>
  <c r="Q19" i="55"/>
  <c r="O23" i="55"/>
  <c r="P23" i="55"/>
  <c r="Q23" i="55"/>
  <c r="O24" i="55"/>
  <c r="P24" i="55"/>
  <c r="Q24" i="55"/>
  <c r="O35" i="55"/>
  <c r="P35" i="55"/>
  <c r="Q35" i="55"/>
  <c r="O37" i="55"/>
  <c r="P37" i="55"/>
  <c r="Q37" i="55"/>
  <c r="O38" i="55"/>
  <c r="P38" i="55"/>
  <c r="Q38" i="55"/>
  <c r="O39" i="55"/>
  <c r="P39" i="55"/>
  <c r="Q39" i="55"/>
  <c r="O40" i="55"/>
  <c r="P40" i="55"/>
  <c r="Q40" i="55"/>
  <c r="O42" i="55"/>
  <c r="P42" i="55"/>
  <c r="Q42" i="55"/>
  <c r="O43" i="55"/>
  <c r="P43" i="55"/>
  <c r="Q43" i="55"/>
  <c r="O44" i="55"/>
  <c r="P44" i="55"/>
  <c r="Q44" i="55"/>
  <c r="P45" i="55"/>
  <c r="Q45" i="55"/>
  <c r="O47" i="55"/>
  <c r="P47" i="55"/>
  <c r="Q47" i="55"/>
  <c r="O48" i="55"/>
  <c r="P48" i="55"/>
  <c r="Q48" i="55"/>
  <c r="O50" i="55"/>
  <c r="P50" i="55"/>
  <c r="Q50" i="55"/>
  <c r="O51" i="55"/>
  <c r="P51" i="55"/>
  <c r="Q51" i="55"/>
  <c r="O52" i="55"/>
  <c r="P52" i="55"/>
  <c r="Q52" i="55"/>
  <c r="O56" i="55"/>
  <c r="P56" i="55"/>
  <c r="Q56" i="55"/>
  <c r="O57" i="55"/>
  <c r="P57" i="55"/>
  <c r="Q57" i="55"/>
  <c r="O58" i="55"/>
  <c r="P58" i="55"/>
  <c r="Q58" i="55"/>
  <c r="O60" i="55"/>
  <c r="P60" i="55"/>
  <c r="Q60" i="55"/>
  <c r="O61" i="55"/>
  <c r="P61" i="55"/>
  <c r="Q61" i="55"/>
  <c r="O62" i="55"/>
  <c r="P62" i="55"/>
  <c r="Q62" i="55"/>
  <c r="O68" i="55"/>
  <c r="P68" i="55"/>
  <c r="Q68" i="55"/>
  <c r="O69" i="55"/>
  <c r="P69" i="55"/>
  <c r="Q69" i="55"/>
  <c r="O70" i="55"/>
  <c r="P70" i="55"/>
  <c r="Q70" i="55"/>
  <c r="O71" i="55"/>
  <c r="P71" i="55"/>
  <c r="Q71" i="55"/>
  <c r="O72" i="55"/>
  <c r="P72" i="55"/>
  <c r="Q72" i="55"/>
  <c r="O73" i="55"/>
  <c r="P73" i="55"/>
  <c r="Q73" i="55"/>
  <c r="O74" i="55"/>
  <c r="P74" i="55"/>
  <c r="Q74" i="55"/>
  <c r="O75" i="55"/>
  <c r="P75" i="55"/>
  <c r="Q75" i="55"/>
  <c r="O76" i="55"/>
  <c r="P76" i="55"/>
  <c r="Q76" i="55"/>
  <c r="O78" i="55"/>
  <c r="P78" i="55"/>
  <c r="Q78" i="55"/>
  <c r="O79" i="55"/>
  <c r="P79" i="55"/>
  <c r="Q79" i="55"/>
  <c r="O80" i="55"/>
  <c r="P80" i="55"/>
  <c r="Q80" i="55"/>
  <c r="O81" i="55"/>
  <c r="P81" i="55"/>
  <c r="Q81" i="55"/>
  <c r="O82" i="55"/>
  <c r="P82" i="55"/>
  <c r="Q82" i="55"/>
  <c r="O83" i="55"/>
  <c r="P83" i="55"/>
  <c r="Q83" i="55"/>
  <c r="O84" i="55"/>
  <c r="P84" i="55"/>
  <c r="Q84" i="55"/>
  <c r="O85" i="55"/>
  <c r="P85" i="55"/>
  <c r="Q85" i="55"/>
  <c r="O86" i="55"/>
  <c r="V12" i="156" s="1"/>
  <c r="P86" i="55"/>
  <c r="W12" i="156" s="1"/>
  <c r="Q86" i="55"/>
  <c r="Y12" i="156" s="1"/>
  <c r="Z12" i="156" s="1"/>
  <c r="O87" i="55"/>
  <c r="P87" i="55"/>
  <c r="Q87" i="55"/>
  <c r="O88" i="55"/>
  <c r="P88" i="55"/>
  <c r="Q88" i="55"/>
  <c r="O89" i="55"/>
  <c r="P89" i="55"/>
  <c r="Q89" i="55"/>
  <c r="O90" i="55"/>
  <c r="P90" i="55"/>
  <c r="Q90" i="55"/>
  <c r="O91" i="55"/>
  <c r="P91" i="55"/>
  <c r="Q91" i="55"/>
  <c r="O92" i="55"/>
  <c r="P92" i="55"/>
  <c r="Q92" i="55"/>
  <c r="O93" i="55"/>
  <c r="P93" i="55"/>
  <c r="Q93" i="55"/>
  <c r="O94" i="55"/>
  <c r="P94" i="55"/>
  <c r="Q94" i="55"/>
  <c r="O95" i="55"/>
  <c r="P95" i="55"/>
  <c r="Q95" i="55"/>
  <c r="O96" i="55"/>
  <c r="P96" i="55"/>
  <c r="Q96" i="55"/>
  <c r="O98" i="55"/>
  <c r="P98" i="55"/>
  <c r="Q98" i="55"/>
  <c r="O99" i="55"/>
  <c r="P99" i="55"/>
  <c r="Q99" i="55"/>
  <c r="O100" i="55"/>
  <c r="P100" i="55"/>
  <c r="Q100" i="55"/>
  <c r="O101" i="55"/>
  <c r="V64" i="156" s="1"/>
  <c r="P101" i="55"/>
  <c r="W64" i="156" s="1"/>
  <c r="Q101" i="55"/>
  <c r="Y64" i="156" s="1"/>
  <c r="Z64" i="156" s="1"/>
  <c r="O102" i="55"/>
  <c r="V17" i="156" s="1"/>
  <c r="P102" i="55"/>
  <c r="W17" i="156" s="1"/>
  <c r="Q102" i="55"/>
  <c r="Y17" i="156" s="1"/>
  <c r="Z17" i="156" s="1"/>
  <c r="O106" i="55"/>
  <c r="P106" i="55"/>
  <c r="Q106" i="55"/>
  <c r="O107" i="55"/>
  <c r="P107" i="55"/>
  <c r="Q107" i="55"/>
  <c r="O108" i="55"/>
  <c r="P108" i="55"/>
  <c r="Q108" i="55"/>
  <c r="O109" i="55"/>
  <c r="P109" i="55"/>
  <c r="Q109" i="55"/>
  <c r="O110" i="55"/>
  <c r="P110" i="55"/>
  <c r="Q110" i="55"/>
  <c r="O111" i="55"/>
  <c r="P111" i="55"/>
  <c r="Q111" i="55"/>
  <c r="O112" i="55"/>
  <c r="P112" i="55"/>
  <c r="Q112" i="55"/>
  <c r="O113" i="55"/>
  <c r="P113" i="55"/>
  <c r="Q113" i="55"/>
  <c r="O114" i="55"/>
  <c r="P114" i="55"/>
  <c r="Q114" i="55"/>
  <c r="O117" i="55"/>
  <c r="P117" i="55"/>
  <c r="Q117" i="55"/>
  <c r="O118" i="55"/>
  <c r="P118" i="55"/>
  <c r="Q118" i="55"/>
  <c r="O119" i="55"/>
  <c r="P119" i="55"/>
  <c r="Q119" i="55"/>
  <c r="O120" i="55"/>
  <c r="P120" i="55"/>
  <c r="Q120" i="55"/>
  <c r="O123" i="55"/>
  <c r="P123" i="55"/>
  <c r="Q123" i="55"/>
  <c r="O133" i="55"/>
  <c r="P133" i="55"/>
  <c r="Q133" i="55"/>
  <c r="O136" i="55"/>
  <c r="P136" i="55"/>
  <c r="Q136" i="55"/>
  <c r="O137" i="55"/>
  <c r="P137" i="55"/>
  <c r="Q137" i="55"/>
  <c r="O138" i="55"/>
  <c r="P138" i="55"/>
  <c r="Q138" i="55"/>
  <c r="O139" i="55"/>
  <c r="P139" i="55"/>
  <c r="Q139" i="55"/>
  <c r="O140" i="55"/>
  <c r="P140" i="55"/>
  <c r="Q140" i="55"/>
  <c r="O141" i="55"/>
  <c r="P141" i="55"/>
  <c r="Q141" i="55"/>
  <c r="O142" i="55"/>
  <c r="P142" i="55"/>
  <c r="Q142" i="55"/>
  <c r="O151" i="55"/>
  <c r="P151" i="55"/>
  <c r="Q151" i="55"/>
  <c r="O152" i="55"/>
  <c r="P152" i="55"/>
  <c r="Q152" i="55"/>
  <c r="O153" i="55"/>
  <c r="P153" i="55"/>
  <c r="Q153" i="55"/>
  <c r="O154" i="55"/>
  <c r="P154" i="55"/>
  <c r="Q154" i="55"/>
  <c r="O157" i="55"/>
  <c r="P157" i="55"/>
  <c r="Q157" i="55"/>
  <c r="O158" i="55"/>
  <c r="P158" i="55"/>
  <c r="Q158" i="55"/>
  <c r="O159" i="55"/>
  <c r="P159" i="55"/>
  <c r="W103" i="156" s="1"/>
  <c r="Q159" i="55"/>
  <c r="O161" i="55"/>
  <c r="P161" i="55"/>
  <c r="Q161" i="55"/>
  <c r="O163" i="55"/>
  <c r="P163" i="55"/>
  <c r="Q163" i="55"/>
  <c r="O164" i="55"/>
  <c r="P164" i="55"/>
  <c r="Q164" i="55"/>
  <c r="O165" i="55"/>
  <c r="P165" i="55"/>
  <c r="Q165" i="55"/>
  <c r="O166" i="55"/>
  <c r="P166" i="55"/>
  <c r="Q166" i="55"/>
  <c r="O167" i="55"/>
  <c r="P167" i="55"/>
  <c r="Q167" i="55"/>
  <c r="O171" i="55"/>
  <c r="P171" i="55"/>
  <c r="Q171" i="55"/>
  <c r="O172" i="55"/>
  <c r="P172" i="55"/>
  <c r="Q172" i="55"/>
  <c r="O174" i="55"/>
  <c r="P174" i="55"/>
  <c r="Q174" i="55"/>
  <c r="O175" i="55"/>
  <c r="P175" i="55"/>
  <c r="Q175" i="55"/>
  <c r="O176" i="55"/>
  <c r="P176" i="55"/>
  <c r="Q176" i="55"/>
  <c r="O177" i="55"/>
  <c r="P177" i="55"/>
  <c r="Q177" i="55"/>
  <c r="O178" i="55"/>
  <c r="P178" i="55"/>
  <c r="Q178" i="55"/>
  <c r="O179" i="55"/>
  <c r="P179" i="55"/>
  <c r="Q179" i="55"/>
  <c r="O180" i="55"/>
  <c r="P180" i="55"/>
  <c r="Q180" i="55"/>
  <c r="O181" i="55"/>
  <c r="P181" i="55"/>
  <c r="Q181" i="55"/>
  <c r="O184" i="55"/>
  <c r="P184" i="55"/>
  <c r="Q184" i="55"/>
  <c r="O185" i="55"/>
  <c r="P185" i="55"/>
  <c r="Q185" i="55"/>
  <c r="O188" i="55"/>
  <c r="P188" i="55"/>
  <c r="Q188" i="55"/>
  <c r="O189" i="55"/>
  <c r="P189" i="55"/>
  <c r="Q189" i="55"/>
  <c r="O190" i="55"/>
  <c r="P190" i="55"/>
  <c r="Q190" i="55"/>
  <c r="O191" i="55"/>
  <c r="P191" i="55"/>
  <c r="Q191" i="55"/>
  <c r="O192" i="55"/>
  <c r="P192" i="55"/>
  <c r="Q192" i="55"/>
  <c r="O193" i="55"/>
  <c r="P193" i="55"/>
  <c r="Q193" i="55"/>
  <c r="O194" i="55"/>
  <c r="P194" i="55"/>
  <c r="Q194" i="55"/>
  <c r="O196" i="55"/>
  <c r="P196" i="55"/>
  <c r="Q196" i="55"/>
  <c r="O197" i="55"/>
  <c r="P197" i="55"/>
  <c r="Q197" i="55"/>
  <c r="O198" i="55"/>
  <c r="P198" i="55"/>
  <c r="Q198" i="55"/>
  <c r="O199" i="55"/>
  <c r="P199" i="55"/>
  <c r="Q199" i="55"/>
  <c r="O201" i="55"/>
  <c r="P201" i="55"/>
  <c r="Q201" i="55"/>
  <c r="O205" i="55"/>
  <c r="P205" i="55"/>
  <c r="Q205" i="55"/>
  <c r="O206" i="55"/>
  <c r="P206" i="55"/>
  <c r="Q206" i="55"/>
  <c r="O207" i="55"/>
  <c r="P207" i="55"/>
  <c r="Q207" i="55"/>
  <c r="O208" i="55"/>
  <c r="P208" i="55"/>
  <c r="Q208" i="55"/>
  <c r="O209" i="55"/>
  <c r="P209" i="55"/>
  <c r="Q209" i="55"/>
  <c r="O210" i="55"/>
  <c r="P210" i="55"/>
  <c r="Q210" i="55"/>
  <c r="O211" i="55"/>
  <c r="P211" i="55"/>
  <c r="Q211" i="55"/>
  <c r="O212" i="55"/>
  <c r="P212" i="55"/>
  <c r="Q212" i="55"/>
  <c r="O213" i="55"/>
  <c r="P213" i="55"/>
  <c r="Q213" i="55"/>
  <c r="O214" i="55"/>
  <c r="P214" i="55"/>
  <c r="Q214" i="55"/>
  <c r="O215" i="55"/>
  <c r="P215" i="55"/>
  <c r="Q215" i="55"/>
  <c r="O216" i="55"/>
  <c r="P216" i="55"/>
  <c r="Q216" i="55"/>
  <c r="O217" i="55"/>
  <c r="P217" i="55"/>
  <c r="Q217" i="55"/>
  <c r="O219" i="55"/>
  <c r="P219" i="55"/>
  <c r="Q219" i="55"/>
  <c r="R217" i="55"/>
  <c r="C217" i="78"/>
  <c r="R213" i="55"/>
  <c r="C213" i="78"/>
  <c r="R71" i="55"/>
  <c r="C71" i="78"/>
  <c r="R61" i="55"/>
  <c r="C61" i="78"/>
  <c r="R50" i="55"/>
  <c r="C50" i="78"/>
  <c r="R45" i="55"/>
  <c r="C45" i="78"/>
  <c r="R39" i="55"/>
  <c r="C39" i="78"/>
  <c r="R38" i="55"/>
  <c r="C38" i="78"/>
  <c r="R37" i="55"/>
  <c r="C37" i="78"/>
  <c r="R23" i="55"/>
  <c r="C23" i="78"/>
  <c r="R5" i="55"/>
  <c r="R3" i="55"/>
  <c r="R4" i="55"/>
  <c r="R6" i="55"/>
  <c r="C5" i="78"/>
  <c r="J10" i="70"/>
  <c r="L10" i="70"/>
  <c r="G10" i="70"/>
  <c r="H10" i="70" s="1"/>
  <c r="F10" i="70"/>
  <c r="D10" i="70"/>
  <c r="E10" i="70"/>
  <c r="B10" i="70"/>
  <c r="R196" i="55"/>
  <c r="R197" i="55"/>
  <c r="R198" i="55"/>
  <c r="R199" i="55"/>
  <c r="R201" i="55"/>
  <c r="R205" i="55"/>
  <c r="R206" i="55"/>
  <c r="R207" i="55"/>
  <c r="R208" i="55"/>
  <c r="C201" i="78"/>
  <c r="R151" i="55"/>
  <c r="C151" i="78"/>
  <c r="R142" i="55"/>
  <c r="C142" i="78"/>
  <c r="R113" i="55"/>
  <c r="C113" i="78"/>
  <c r="R101" i="55"/>
  <c r="C101" i="78"/>
  <c r="R100" i="55"/>
  <c r="C100" i="78"/>
  <c r="R92" i="55"/>
  <c r="C92" i="78"/>
  <c r="R90" i="55"/>
  <c r="C90" i="78"/>
  <c r="R76" i="55"/>
  <c r="C76" i="78"/>
  <c r="C75" i="78"/>
  <c r="R75" i="55"/>
  <c r="C72" i="78"/>
  <c r="R72" i="55"/>
  <c r="V103" i="156" l="1"/>
  <c r="Y109" i="156"/>
  <c r="Z109" i="156" s="1"/>
  <c r="Y107" i="156"/>
  <c r="Z107" i="156" s="1"/>
  <c r="Y111" i="156"/>
  <c r="Z111" i="156" s="1"/>
  <c r="W109" i="156"/>
  <c r="W107" i="156"/>
  <c r="W111" i="156"/>
  <c r="Y103" i="156"/>
  <c r="Z103" i="156" s="1"/>
  <c r="X61" i="156"/>
  <c r="AA61" i="156" s="1"/>
  <c r="Y114" i="156"/>
  <c r="Z114" i="156" s="1"/>
  <c r="Y115" i="156"/>
  <c r="Z115" i="156" s="1"/>
  <c r="V107" i="156"/>
  <c r="V109" i="156"/>
  <c r="X109" i="156" s="1"/>
  <c r="V111" i="156"/>
  <c r="W115" i="156"/>
  <c r="W114" i="156"/>
  <c r="V114" i="156"/>
  <c r="V115" i="156"/>
  <c r="X12" i="156"/>
  <c r="AA12" i="156" s="1"/>
  <c r="P10" i="70"/>
  <c r="Y23" i="156"/>
  <c r="Z23" i="156" s="1"/>
  <c r="N10" i="70"/>
  <c r="V23" i="156"/>
  <c r="X17" i="156"/>
  <c r="AA17" i="156" s="1"/>
  <c r="O10" i="70"/>
  <c r="W23" i="156"/>
  <c r="Y137" i="156"/>
  <c r="Z137" i="156" s="1"/>
  <c r="Y126" i="156"/>
  <c r="Z126" i="156" s="1"/>
  <c r="Y128" i="156"/>
  <c r="Z128" i="156" s="1"/>
  <c r="Y101" i="156"/>
  <c r="Z101" i="156" s="1"/>
  <c r="Y102" i="156"/>
  <c r="Z102" i="156" s="1"/>
  <c r="Y91" i="156"/>
  <c r="Z91" i="156" s="1"/>
  <c r="Y92" i="156"/>
  <c r="Z92" i="156" s="1"/>
  <c r="Y37" i="156"/>
  <c r="Z37" i="156" s="1"/>
  <c r="Y46" i="156"/>
  <c r="Z46" i="156" s="1"/>
  <c r="Y62" i="156"/>
  <c r="Z62" i="156" s="1"/>
  <c r="Y63" i="156"/>
  <c r="Z63" i="156" s="1"/>
  <c r="Y52" i="156"/>
  <c r="Z52" i="156" s="1"/>
  <c r="Y58" i="156"/>
  <c r="Z58" i="156" s="1"/>
  <c r="Y53" i="156"/>
  <c r="Z53" i="156" s="1"/>
  <c r="Y59" i="156"/>
  <c r="Z59" i="156" s="1"/>
  <c r="Y130" i="156"/>
  <c r="Z130" i="156" s="1"/>
  <c r="Y136" i="156"/>
  <c r="Z136" i="156" s="1"/>
  <c r="Y133" i="156"/>
  <c r="Z133" i="156" s="1"/>
  <c r="Y134" i="156"/>
  <c r="Z134" i="156" s="1"/>
  <c r="Y135" i="156"/>
  <c r="Z135" i="156" s="1"/>
  <c r="Y138" i="156"/>
  <c r="Z138" i="156" s="1"/>
  <c r="X103" i="156"/>
  <c r="W126" i="156"/>
  <c r="W128" i="156"/>
  <c r="V126" i="156"/>
  <c r="V128" i="156"/>
  <c r="W101" i="156"/>
  <c r="W102" i="156"/>
  <c r="X64" i="156"/>
  <c r="AA64" i="156" s="1"/>
  <c r="V136" i="156"/>
  <c r="V133" i="156"/>
  <c r="V134" i="156"/>
  <c r="V130" i="156"/>
  <c r="V135" i="156"/>
  <c r="V138" i="156"/>
  <c r="V101" i="156"/>
  <c r="V102" i="156"/>
  <c r="W92" i="156"/>
  <c r="W91" i="156"/>
  <c r="W37" i="156"/>
  <c r="W46" i="156"/>
  <c r="V92" i="156"/>
  <c r="V91" i="156"/>
  <c r="W63" i="156"/>
  <c r="W62" i="156"/>
  <c r="V46" i="156"/>
  <c r="V37" i="156"/>
  <c r="V62" i="156"/>
  <c r="V63" i="156"/>
  <c r="W53" i="156"/>
  <c r="W59" i="156"/>
  <c r="W52" i="156"/>
  <c r="W58" i="156"/>
  <c r="W137" i="156"/>
  <c r="W136" i="156"/>
  <c r="W134" i="156"/>
  <c r="W133" i="156"/>
  <c r="W130" i="156"/>
  <c r="W135" i="156"/>
  <c r="W138" i="156"/>
  <c r="V59" i="156"/>
  <c r="V52" i="156"/>
  <c r="V58" i="156"/>
  <c r="V53" i="156"/>
  <c r="V137" i="156"/>
  <c r="L37" i="180"/>
  <c r="W71" i="156"/>
  <c r="W31" i="156"/>
  <c r="V31" i="156"/>
  <c r="Y31" i="156"/>
  <c r="Z31" i="156" s="1"/>
  <c r="V71" i="156"/>
  <c r="Y71" i="156"/>
  <c r="Z71" i="156" s="1"/>
  <c r="Y118" i="156"/>
  <c r="Z118" i="156" s="1"/>
  <c r="Y40" i="156"/>
  <c r="Z40" i="156" s="1"/>
  <c r="Y54" i="156"/>
  <c r="Z54" i="156" s="1"/>
  <c r="Y48" i="156"/>
  <c r="Z48" i="156" s="1"/>
  <c r="W118" i="156"/>
  <c r="W40" i="156"/>
  <c r="W54" i="156"/>
  <c r="W48" i="156"/>
  <c r="Y117" i="156"/>
  <c r="Z117" i="156" s="1"/>
  <c r="Y26" i="156"/>
  <c r="Z26" i="156" s="1"/>
  <c r="Y105" i="156"/>
  <c r="Z105" i="156" s="1"/>
  <c r="Y27" i="156"/>
  <c r="Z27" i="156" s="1"/>
  <c r="V118" i="156"/>
  <c r="V54" i="156"/>
  <c r="V48" i="156"/>
  <c r="V40" i="156"/>
  <c r="W26" i="156"/>
  <c r="W27" i="156"/>
  <c r="W117" i="156"/>
  <c r="W105" i="156"/>
  <c r="V26" i="156"/>
  <c r="V117" i="156"/>
  <c r="V27" i="156"/>
  <c r="V105" i="156"/>
  <c r="Y35" i="156"/>
  <c r="Z35" i="156" s="1"/>
  <c r="Y96" i="156"/>
  <c r="Z96" i="156" s="1"/>
  <c r="Y22" i="156"/>
  <c r="Z22" i="156" s="1"/>
  <c r="W35" i="156"/>
  <c r="W22" i="156"/>
  <c r="W96" i="156"/>
  <c r="V35" i="156"/>
  <c r="V96" i="156"/>
  <c r="V22" i="156"/>
  <c r="W119" i="156"/>
  <c r="W124" i="156"/>
  <c r="W125" i="156"/>
  <c r="W108" i="156"/>
  <c r="V83" i="156"/>
  <c r="V78" i="156"/>
  <c r="V79" i="156"/>
  <c r="V94" i="156"/>
  <c r="V81" i="156"/>
  <c r="V93" i="156"/>
  <c r="V80" i="156"/>
  <c r="Y75" i="156"/>
  <c r="Z75" i="156" s="1"/>
  <c r="V73" i="156"/>
  <c r="V72" i="156"/>
  <c r="V34" i="156"/>
  <c r="Y69" i="156"/>
  <c r="Z69" i="156" s="1"/>
  <c r="Y32" i="156"/>
  <c r="Z32" i="156" s="1"/>
  <c r="Y70" i="156"/>
  <c r="Z70" i="156" s="1"/>
  <c r="Y67" i="156"/>
  <c r="Z67" i="156" s="1"/>
  <c r="W51" i="156"/>
  <c r="W56" i="156"/>
  <c r="W29" i="156"/>
  <c r="W57" i="156"/>
  <c r="Y38" i="156"/>
  <c r="Z38" i="156" s="1"/>
  <c r="Y44" i="156"/>
  <c r="Z44" i="156" s="1"/>
  <c r="V97" i="156"/>
  <c r="V21" i="156"/>
  <c r="Y66" i="156"/>
  <c r="Z66" i="156" s="1"/>
  <c r="Y20" i="156"/>
  <c r="Z20" i="156" s="1"/>
  <c r="Y19" i="156"/>
  <c r="Z19" i="156" s="1"/>
  <c r="Y65" i="156"/>
  <c r="Z65" i="156" s="1"/>
  <c r="V3" i="156"/>
  <c r="V60" i="156"/>
  <c r="V13" i="156"/>
  <c r="V68" i="156"/>
  <c r="V82" i="156"/>
  <c r="V25" i="156"/>
  <c r="V8" i="156"/>
  <c r="V6" i="156"/>
  <c r="V5" i="156"/>
  <c r="V47" i="156"/>
  <c r="V2" i="156"/>
  <c r="V9" i="156"/>
  <c r="Y112" i="156"/>
  <c r="Z112" i="156" s="1"/>
  <c r="Y100" i="156"/>
  <c r="Z100" i="156" s="1"/>
  <c r="Y89" i="156"/>
  <c r="Z89" i="156" s="1"/>
  <c r="Y90" i="156"/>
  <c r="Z90" i="156" s="1"/>
  <c r="V124" i="156"/>
  <c r="V125" i="156"/>
  <c r="V108" i="156"/>
  <c r="V119" i="156"/>
  <c r="Y77" i="156"/>
  <c r="Z77" i="156" s="1"/>
  <c r="Y76" i="156"/>
  <c r="Z76" i="156" s="1"/>
  <c r="W75" i="156"/>
  <c r="W32" i="156"/>
  <c r="W70" i="156"/>
  <c r="W67" i="156"/>
  <c r="W69" i="156"/>
  <c r="V56" i="156"/>
  <c r="V57" i="156"/>
  <c r="V51" i="156"/>
  <c r="V29" i="156"/>
  <c r="Y45" i="156"/>
  <c r="Z45" i="156" s="1"/>
  <c r="Y39" i="156"/>
  <c r="Z39" i="156" s="1"/>
  <c r="W44" i="156"/>
  <c r="W38" i="156"/>
  <c r="Y43" i="156"/>
  <c r="Z43" i="156" s="1"/>
  <c r="Y42" i="156"/>
  <c r="Z42" i="156" s="1"/>
  <c r="Y36" i="156"/>
  <c r="Z36" i="156" s="1"/>
  <c r="W66" i="156"/>
  <c r="W20" i="156"/>
  <c r="W19" i="156"/>
  <c r="W65" i="156"/>
  <c r="W112" i="156"/>
  <c r="W100" i="156"/>
  <c r="W89" i="156"/>
  <c r="W90" i="156"/>
  <c r="Y79" i="156"/>
  <c r="Z79" i="156" s="1"/>
  <c r="Y94" i="156"/>
  <c r="Z94" i="156" s="1"/>
  <c r="Y81" i="156"/>
  <c r="Z81" i="156" s="1"/>
  <c r="Y83" i="156"/>
  <c r="Z83" i="156" s="1"/>
  <c r="Y93" i="156"/>
  <c r="Z93" i="156" s="1"/>
  <c r="Y80" i="156"/>
  <c r="Z80" i="156" s="1"/>
  <c r="Y78" i="156"/>
  <c r="Z78" i="156" s="1"/>
  <c r="W77" i="156"/>
  <c r="W76" i="156"/>
  <c r="V75" i="156"/>
  <c r="Y72" i="156"/>
  <c r="Z72" i="156" s="1"/>
  <c r="Y34" i="156"/>
  <c r="Z34" i="156" s="1"/>
  <c r="Y73" i="156"/>
  <c r="Z73" i="156" s="1"/>
  <c r="V67" i="156"/>
  <c r="V70" i="156"/>
  <c r="V69" i="156"/>
  <c r="V32" i="156"/>
  <c r="W39" i="156"/>
  <c r="W45" i="156"/>
  <c r="V44" i="156"/>
  <c r="V38" i="156"/>
  <c r="W43" i="156"/>
  <c r="W42" i="156"/>
  <c r="W36" i="156"/>
  <c r="Y97" i="156"/>
  <c r="Z97" i="156" s="1"/>
  <c r="Y21" i="156"/>
  <c r="Z21" i="156" s="1"/>
  <c r="V19" i="156"/>
  <c r="V65" i="156"/>
  <c r="V66" i="156"/>
  <c r="V20" i="156"/>
  <c r="Y8" i="156"/>
  <c r="Z8" i="156" s="1"/>
  <c r="Y6" i="156"/>
  <c r="Z6" i="156" s="1"/>
  <c r="Y5" i="156"/>
  <c r="Z5" i="156" s="1"/>
  <c r="Y47" i="156"/>
  <c r="Z47" i="156" s="1"/>
  <c r="Y2" i="156"/>
  <c r="Z2" i="156" s="1"/>
  <c r="Y9" i="156"/>
  <c r="Z9" i="156" s="1"/>
  <c r="Y3" i="156"/>
  <c r="Z3" i="156" s="1"/>
  <c r="Y60" i="156"/>
  <c r="Z60" i="156" s="1"/>
  <c r="Y13" i="156"/>
  <c r="Z13" i="156" s="1"/>
  <c r="Y68" i="156"/>
  <c r="Z68" i="156" s="1"/>
  <c r="Y82" i="156"/>
  <c r="Z82" i="156" s="1"/>
  <c r="Y25" i="156"/>
  <c r="Z25" i="156" s="1"/>
  <c r="V89" i="156"/>
  <c r="V90" i="156"/>
  <c r="V112" i="156"/>
  <c r="V100" i="156"/>
  <c r="Y119" i="156"/>
  <c r="Z119" i="156" s="1"/>
  <c r="Y124" i="156"/>
  <c r="Z124" i="156" s="1"/>
  <c r="Y125" i="156"/>
  <c r="Z125" i="156" s="1"/>
  <c r="Y108" i="156"/>
  <c r="Z108" i="156" s="1"/>
  <c r="W79" i="156"/>
  <c r="W83" i="156"/>
  <c r="W93" i="156"/>
  <c r="W80" i="156"/>
  <c r="W78" i="156"/>
  <c r="W94" i="156"/>
  <c r="W81" i="156"/>
  <c r="V76" i="156"/>
  <c r="V77" i="156"/>
  <c r="W34" i="156"/>
  <c r="W72" i="156"/>
  <c r="W73" i="156"/>
  <c r="Y29" i="156"/>
  <c r="Z29" i="156" s="1"/>
  <c r="Y51" i="156"/>
  <c r="Z51" i="156" s="1"/>
  <c r="Y57" i="156"/>
  <c r="Z57" i="156" s="1"/>
  <c r="Y56" i="156"/>
  <c r="Z56" i="156" s="1"/>
  <c r="V39" i="156"/>
  <c r="V45" i="156"/>
  <c r="V43" i="156"/>
  <c r="V42" i="156"/>
  <c r="V36" i="156"/>
  <c r="W97" i="156"/>
  <c r="W21" i="156"/>
  <c r="W47" i="156"/>
  <c r="W2" i="156"/>
  <c r="W9" i="156"/>
  <c r="W3" i="156"/>
  <c r="W60" i="156"/>
  <c r="W13" i="156"/>
  <c r="W68" i="156"/>
  <c r="W82" i="156"/>
  <c r="W25" i="156"/>
  <c r="W8" i="156"/>
  <c r="W6" i="156"/>
  <c r="W5" i="156"/>
  <c r="K10" i="70"/>
  <c r="M10" i="70"/>
  <c r="I10" i="70"/>
  <c r="AA109" i="156" l="1"/>
  <c r="X107" i="156"/>
  <c r="AA107" i="156" s="1"/>
  <c r="X111" i="156"/>
  <c r="AA111" i="156" s="1"/>
  <c r="AA103" i="156"/>
  <c r="X115" i="156"/>
  <c r="AA115" i="156" s="1"/>
  <c r="X114" i="156"/>
  <c r="AA114" i="156" s="1"/>
  <c r="X23" i="156"/>
  <c r="AA23" i="156" s="1"/>
  <c r="X126" i="156"/>
  <c r="AA126" i="156" s="1"/>
  <c r="X53" i="156"/>
  <c r="AA53" i="156" s="1"/>
  <c r="X128" i="156"/>
  <c r="AA128" i="156" s="1"/>
  <c r="X101" i="156"/>
  <c r="AA101" i="156" s="1"/>
  <c r="X58" i="156"/>
  <c r="AA58" i="156" s="1"/>
  <c r="X63" i="156"/>
  <c r="AA63" i="156" s="1"/>
  <c r="X52" i="156"/>
  <c r="AA52" i="156" s="1"/>
  <c r="X62" i="156"/>
  <c r="AA62" i="156" s="1"/>
  <c r="X59" i="156"/>
  <c r="AA59" i="156" s="1"/>
  <c r="X37" i="156"/>
  <c r="AA37" i="156" s="1"/>
  <c r="X137" i="156"/>
  <c r="AA137" i="156" s="1"/>
  <c r="X102" i="156"/>
  <c r="AA102" i="156" s="1"/>
  <c r="X40" i="156"/>
  <c r="AA40" i="156" s="1"/>
  <c r="X92" i="156"/>
  <c r="AA92" i="156" s="1"/>
  <c r="X46" i="156"/>
  <c r="AA46" i="156" s="1"/>
  <c r="X135" i="156"/>
  <c r="AA135" i="156" s="1"/>
  <c r="X130" i="156"/>
  <c r="AA130" i="156" s="1"/>
  <c r="X134" i="156"/>
  <c r="AA134" i="156" s="1"/>
  <c r="X91" i="156"/>
  <c r="AA91" i="156" s="1"/>
  <c r="X133" i="156"/>
  <c r="AA133" i="156" s="1"/>
  <c r="X136" i="156"/>
  <c r="AA136" i="156" s="1"/>
  <c r="X138" i="156"/>
  <c r="AA138" i="156" s="1"/>
  <c r="X71" i="156"/>
  <c r="AA71" i="156" s="1"/>
  <c r="X31" i="156"/>
  <c r="AA31" i="156" s="1"/>
  <c r="X118" i="156"/>
  <c r="AA118" i="156" s="1"/>
  <c r="X35" i="156"/>
  <c r="AA35" i="156" s="1"/>
  <c r="X54" i="156"/>
  <c r="AA54" i="156" s="1"/>
  <c r="X43" i="156"/>
  <c r="AA43" i="156" s="1"/>
  <c r="X26" i="156"/>
  <c r="AA26" i="156" s="1"/>
  <c r="X42" i="156"/>
  <c r="AA42" i="156" s="1"/>
  <c r="X70" i="156"/>
  <c r="AA70" i="156" s="1"/>
  <c r="X119" i="156"/>
  <c r="AA119" i="156" s="1"/>
  <c r="X57" i="156"/>
  <c r="AA57" i="156" s="1"/>
  <c r="X105" i="156"/>
  <c r="AA105" i="156" s="1"/>
  <c r="Q10" i="70"/>
  <c r="R10" i="70" s="1"/>
  <c r="S10" i="70" s="1"/>
  <c r="X39" i="156"/>
  <c r="AA39" i="156" s="1"/>
  <c r="X45" i="156"/>
  <c r="AA45" i="156" s="1"/>
  <c r="X96" i="156"/>
  <c r="AA96" i="156" s="1"/>
  <c r="X48" i="156"/>
  <c r="AA48" i="156" s="1"/>
  <c r="X27" i="156"/>
  <c r="AA27" i="156" s="1"/>
  <c r="X22" i="156"/>
  <c r="AA22" i="156" s="1"/>
  <c r="X117" i="156"/>
  <c r="AA117" i="156" s="1"/>
  <c r="X36" i="156"/>
  <c r="AA36" i="156" s="1"/>
  <c r="T10" i="70"/>
  <c r="X112" i="156"/>
  <c r="AA112" i="156" s="1"/>
  <c r="X38" i="156"/>
  <c r="AA38" i="156" s="1"/>
  <c r="X108" i="156"/>
  <c r="AA108" i="156" s="1"/>
  <c r="X76" i="156"/>
  <c r="AA76" i="156" s="1"/>
  <c r="X66" i="156"/>
  <c r="AA66" i="156" s="1"/>
  <c r="X29" i="156"/>
  <c r="AA29" i="156" s="1"/>
  <c r="X65" i="156"/>
  <c r="AA65" i="156" s="1"/>
  <c r="X32" i="156"/>
  <c r="AA32" i="156" s="1"/>
  <c r="X44" i="156"/>
  <c r="AA44" i="156" s="1"/>
  <c r="X125" i="156"/>
  <c r="AA125" i="156" s="1"/>
  <c r="X77" i="156"/>
  <c r="AA77" i="156" s="1"/>
  <c r="X51" i="156"/>
  <c r="AA51" i="156" s="1"/>
  <c r="X20" i="156"/>
  <c r="AA20" i="156" s="1"/>
  <c r="X100" i="156"/>
  <c r="AA100" i="156" s="1"/>
  <c r="X90" i="156"/>
  <c r="AA90" i="156" s="1"/>
  <c r="X89" i="156"/>
  <c r="AA89" i="156" s="1"/>
  <c r="X67" i="156"/>
  <c r="AA67" i="156" s="1"/>
  <c r="X124" i="156"/>
  <c r="AA124" i="156" s="1"/>
  <c r="X19" i="156"/>
  <c r="AA19" i="156" s="1"/>
  <c r="X69" i="156"/>
  <c r="AA69" i="156" s="1"/>
  <c r="X75" i="156"/>
  <c r="AA75" i="156" s="1"/>
  <c r="X56" i="156"/>
  <c r="AA56" i="156" s="1"/>
  <c r="X9" i="156"/>
  <c r="AA9" i="156" s="1"/>
  <c r="X8" i="156"/>
  <c r="AA8" i="156" s="1"/>
  <c r="X3" i="156"/>
  <c r="AA3" i="156" s="1"/>
  <c r="X21" i="156"/>
  <c r="AA21" i="156" s="1"/>
  <c r="X34" i="156"/>
  <c r="AA34" i="156" s="1"/>
  <c r="X93" i="156"/>
  <c r="AA93" i="156" s="1"/>
  <c r="X2" i="156"/>
  <c r="AA2" i="156" s="1"/>
  <c r="X5" i="156"/>
  <c r="AA5" i="156" s="1"/>
  <c r="X25" i="156"/>
  <c r="AA25" i="156" s="1"/>
  <c r="X68" i="156"/>
  <c r="AA68" i="156" s="1"/>
  <c r="X97" i="156"/>
  <c r="AA97" i="156" s="1"/>
  <c r="X72" i="156"/>
  <c r="AA72" i="156" s="1"/>
  <c r="X81" i="156"/>
  <c r="AA81" i="156" s="1"/>
  <c r="X78" i="156"/>
  <c r="AA78" i="156" s="1"/>
  <c r="X6" i="156"/>
  <c r="AA6" i="156" s="1"/>
  <c r="X13" i="156"/>
  <c r="AA13" i="156" s="1"/>
  <c r="X73" i="156"/>
  <c r="AA73" i="156" s="1"/>
  <c r="X94" i="156"/>
  <c r="AA94" i="156" s="1"/>
  <c r="X83" i="156"/>
  <c r="AA83" i="156" s="1"/>
  <c r="X47" i="156"/>
  <c r="AA47" i="156" s="1"/>
  <c r="X82" i="156"/>
  <c r="AA82" i="156" s="1"/>
  <c r="X60" i="156"/>
  <c r="AA60" i="156" s="1"/>
  <c r="X80" i="156"/>
  <c r="AA80" i="156" s="1"/>
  <c r="X79" i="156"/>
  <c r="AA79" i="156" s="1"/>
  <c r="R106" i="156" l="1"/>
  <c r="S106" i="156" s="1"/>
  <c r="U106" i="156"/>
  <c r="AB106" i="156"/>
  <c r="AC106" i="156"/>
  <c r="AD106" i="156"/>
  <c r="AE106" i="156"/>
  <c r="AF106" i="156"/>
  <c r="AG106" i="156"/>
  <c r="AH106" i="156"/>
  <c r="AI106" i="156"/>
  <c r="AJ106" i="156"/>
  <c r="AK106" i="156"/>
  <c r="AL106" i="156"/>
  <c r="AM106" i="156"/>
  <c r="R104" i="156"/>
  <c r="S104" i="156" s="1"/>
  <c r="U104" i="156"/>
  <c r="AB104" i="156"/>
  <c r="AC104" i="156"/>
  <c r="AD104" i="156"/>
  <c r="AE104" i="156"/>
  <c r="AF104" i="156"/>
  <c r="AG104" i="156"/>
  <c r="AH104" i="156"/>
  <c r="AI104" i="156"/>
  <c r="AJ104" i="156"/>
  <c r="AK104" i="156"/>
  <c r="AL104" i="156"/>
  <c r="AM104" i="156"/>
  <c r="R116" i="156"/>
  <c r="U116" i="156"/>
  <c r="AB116" i="156"/>
  <c r="AC116" i="156"/>
  <c r="AD116" i="156"/>
  <c r="AE116" i="156"/>
  <c r="AF116" i="156"/>
  <c r="AG116" i="156"/>
  <c r="AH116" i="156"/>
  <c r="AI116" i="156"/>
  <c r="AJ116" i="156"/>
  <c r="AK116" i="156"/>
  <c r="AL116" i="156"/>
  <c r="AM116" i="156"/>
  <c r="R120" i="156"/>
  <c r="U120" i="156"/>
  <c r="AB120" i="156"/>
  <c r="AC120" i="156"/>
  <c r="AD120" i="156"/>
  <c r="AE120" i="156"/>
  <c r="AF120" i="156"/>
  <c r="AG120" i="156"/>
  <c r="AH120" i="156"/>
  <c r="AI120" i="156"/>
  <c r="AJ120" i="156"/>
  <c r="AK120" i="156"/>
  <c r="AL120" i="156"/>
  <c r="AM120" i="156"/>
  <c r="R99" i="156"/>
  <c r="S99" i="156" s="1"/>
  <c r="U99" i="156"/>
  <c r="AB99" i="156"/>
  <c r="AC99" i="156"/>
  <c r="AD99" i="156"/>
  <c r="AE99" i="156"/>
  <c r="AF99" i="156"/>
  <c r="AG99" i="156"/>
  <c r="AH99" i="156"/>
  <c r="AI99" i="156"/>
  <c r="AJ99" i="156"/>
  <c r="AK99" i="156"/>
  <c r="AL99" i="156"/>
  <c r="AM99" i="156"/>
  <c r="Q120" i="156"/>
  <c r="B116" i="156"/>
  <c r="B120" i="156"/>
  <c r="B99" i="156"/>
  <c r="T99" i="156" l="1"/>
  <c r="AQ120" i="156"/>
  <c r="AU120" i="156"/>
  <c r="AY120" i="156"/>
  <c r="BC120" i="156"/>
  <c r="BG120" i="156"/>
  <c r="BL120" i="156"/>
  <c r="AS120" i="156"/>
  <c r="AW120" i="156"/>
  <c r="BA120" i="156"/>
  <c r="BE120" i="156"/>
  <c r="BJ120" i="156"/>
  <c r="BI116" i="156"/>
  <c r="AP116" i="156"/>
  <c r="AT116" i="156"/>
  <c r="AX116" i="156"/>
  <c r="BB116" i="156"/>
  <c r="BF116" i="156"/>
  <c r="BK116" i="156"/>
  <c r="AR116" i="156"/>
  <c r="AV116" i="156"/>
  <c r="AZ116" i="156"/>
  <c r="BD116" i="156"/>
  <c r="BH116" i="156"/>
  <c r="AR104" i="156"/>
  <c r="AV104" i="156"/>
  <c r="AZ104" i="156"/>
  <c r="BD104" i="156"/>
  <c r="BH104" i="156"/>
  <c r="BI104" i="156"/>
  <c r="AP104" i="156"/>
  <c r="AT104" i="156"/>
  <c r="AX104" i="156"/>
  <c r="BB104" i="156"/>
  <c r="BF104" i="156"/>
  <c r="BK104" i="156"/>
  <c r="AR99" i="156"/>
  <c r="AV99" i="156"/>
  <c r="AZ99" i="156"/>
  <c r="BD99" i="156"/>
  <c r="BH99" i="156"/>
  <c r="BI99" i="156"/>
  <c r="AP99" i="156"/>
  <c r="AT99" i="156"/>
  <c r="AX99" i="156"/>
  <c r="BB99" i="156"/>
  <c r="BF99" i="156"/>
  <c r="BK99" i="156"/>
  <c r="BK106" i="156"/>
  <c r="AR106" i="156"/>
  <c r="AV106" i="156"/>
  <c r="AZ106" i="156"/>
  <c r="BD106" i="156"/>
  <c r="BH106" i="156"/>
  <c r="BI106" i="156"/>
  <c r="AP106" i="156"/>
  <c r="AT106" i="156"/>
  <c r="AX106" i="156"/>
  <c r="BB106" i="156"/>
  <c r="BF106" i="156"/>
  <c r="Q116" i="156"/>
  <c r="Q104" i="156"/>
  <c r="BK120" i="156"/>
  <c r="AR120" i="156"/>
  <c r="AV120" i="156"/>
  <c r="AZ120" i="156"/>
  <c r="BD120" i="156"/>
  <c r="BH120" i="156"/>
  <c r="BI120" i="156"/>
  <c r="AP120" i="156"/>
  <c r="AT120" i="156"/>
  <c r="AX120" i="156"/>
  <c r="BB120" i="156"/>
  <c r="BF120" i="156"/>
  <c r="Q99" i="156"/>
  <c r="Q106" i="156"/>
  <c r="T104" i="156"/>
  <c r="S120" i="156"/>
  <c r="T120" i="156"/>
  <c r="S116" i="156"/>
  <c r="T116" i="156"/>
  <c r="T106" i="156"/>
  <c r="N4" i="51"/>
  <c r="N6" i="51" s="1"/>
  <c r="M4" i="51"/>
  <c r="M6" i="51" s="1"/>
  <c r="L4" i="51"/>
  <c r="L6" i="51" s="1"/>
  <c r="K4" i="51"/>
  <c r="K6" i="51" s="1"/>
  <c r="J4" i="51"/>
  <c r="J6" i="51" s="1"/>
  <c r="I4" i="51"/>
  <c r="I6" i="51" s="1"/>
  <c r="H4" i="51"/>
  <c r="H6" i="51" s="1"/>
  <c r="G4" i="51"/>
  <c r="G6" i="51" s="1"/>
  <c r="F4" i="51"/>
  <c r="F6" i="51" s="1"/>
  <c r="E4" i="51"/>
  <c r="E6" i="51" s="1"/>
  <c r="D4" i="51"/>
  <c r="D6" i="51" s="1"/>
  <c r="C4" i="51"/>
  <c r="C6" i="51" s="1"/>
  <c r="AS116" i="156" l="1"/>
  <c r="AW116" i="156"/>
  <c r="BA116" i="156"/>
  <c r="BE116" i="156"/>
  <c r="BJ116" i="156"/>
  <c r="AQ116" i="156"/>
  <c r="AU116" i="156"/>
  <c r="AY116" i="156"/>
  <c r="BC116" i="156"/>
  <c r="BG116" i="156"/>
  <c r="BL116" i="156"/>
  <c r="BL99" i="156"/>
  <c r="AS99" i="156"/>
  <c r="AW99" i="156"/>
  <c r="BA99" i="156"/>
  <c r="BE99" i="156"/>
  <c r="BJ99" i="156"/>
  <c r="AQ99" i="156"/>
  <c r="AU99" i="156"/>
  <c r="AY99" i="156"/>
  <c r="BC99" i="156"/>
  <c r="BG99" i="156"/>
  <c r="BL104" i="156"/>
  <c r="AS104" i="156"/>
  <c r="AW104" i="156"/>
  <c r="BA104" i="156"/>
  <c r="BE104" i="156"/>
  <c r="BJ104" i="156"/>
  <c r="AQ104" i="156"/>
  <c r="AU104" i="156"/>
  <c r="AY104" i="156"/>
  <c r="BC104" i="156"/>
  <c r="BG104" i="156"/>
  <c r="AQ106" i="156"/>
  <c r="AU106" i="156"/>
  <c r="AY106" i="156"/>
  <c r="BC106" i="156"/>
  <c r="BG106" i="156"/>
  <c r="BL106" i="156"/>
  <c r="AS106" i="156"/>
  <c r="AW106" i="156"/>
  <c r="BA106" i="156"/>
  <c r="BE106" i="156"/>
  <c r="BJ106" i="156"/>
  <c r="L27" i="95"/>
  <c r="M27" i="95"/>
  <c r="N27" i="95"/>
  <c r="O27" i="95"/>
  <c r="H27" i="95"/>
  <c r="I27" i="95"/>
  <c r="J27" i="95"/>
  <c r="K27" i="95"/>
  <c r="D27" i="95"/>
  <c r="E27" i="95"/>
  <c r="F27" i="95"/>
  <c r="G27" i="95"/>
  <c r="C27" i="95"/>
  <c r="C31" i="95"/>
  <c r="R27" i="95" l="1"/>
  <c r="Q27" i="95"/>
  <c r="P27" i="95"/>
  <c r="S27" i="95"/>
  <c r="R214" i="55" l="1"/>
  <c r="C214" i="78"/>
  <c r="R188" i="55"/>
  <c r="C188" i="78"/>
  <c r="R181" i="55"/>
  <c r="C181" i="78"/>
  <c r="R171" i="55"/>
  <c r="C171" i="78"/>
  <c r="R161" i="55"/>
  <c r="C161" i="78"/>
  <c r="R106" i="55"/>
  <c r="C106" i="78"/>
  <c r="C107" i="78"/>
  <c r="R102" i="55"/>
  <c r="C102" i="78"/>
  <c r="R93" i="55"/>
  <c r="C93" i="78"/>
  <c r="R70" i="55"/>
  <c r="C70" i="78"/>
  <c r="R17" i="55"/>
  <c r="C17" i="78"/>
  <c r="C216" i="78" l="1"/>
  <c r="R216" i="55"/>
  <c r="C215" i="78"/>
  <c r="R215" i="55"/>
  <c r="C111" i="78"/>
  <c r="R111" i="55"/>
  <c r="C56" i="78"/>
  <c r="R56" i="55"/>
  <c r="C51" i="78"/>
  <c r="R51" i="55"/>
  <c r="R127" i="156"/>
  <c r="S127" i="156" s="1"/>
  <c r="U127" i="156"/>
  <c r="AB127" i="156"/>
  <c r="AC127" i="156"/>
  <c r="AD127" i="156"/>
  <c r="AE127" i="156"/>
  <c r="AF127" i="156"/>
  <c r="AG127" i="156"/>
  <c r="AH127" i="156"/>
  <c r="AI127" i="156"/>
  <c r="AJ127" i="156"/>
  <c r="AK127" i="156"/>
  <c r="AL127" i="156"/>
  <c r="AM127" i="156"/>
  <c r="R98" i="156"/>
  <c r="T98" i="156" s="1"/>
  <c r="U98" i="156"/>
  <c r="AB98" i="156"/>
  <c r="AC98" i="156"/>
  <c r="AD98" i="156"/>
  <c r="AE98" i="156"/>
  <c r="AF98" i="156"/>
  <c r="AG98" i="156"/>
  <c r="AH98" i="156"/>
  <c r="AI98" i="156"/>
  <c r="AJ98" i="156"/>
  <c r="AK98" i="156"/>
  <c r="AL98" i="156"/>
  <c r="AM98" i="156"/>
  <c r="R74" i="156"/>
  <c r="T74" i="156" s="1"/>
  <c r="U74" i="156"/>
  <c r="AB74" i="156"/>
  <c r="AC74" i="156"/>
  <c r="AD74" i="156"/>
  <c r="AE74" i="156"/>
  <c r="AF74" i="156"/>
  <c r="AG74" i="156"/>
  <c r="AH74" i="156"/>
  <c r="AI74" i="156"/>
  <c r="AJ74" i="156"/>
  <c r="AK74" i="156"/>
  <c r="AL74" i="156"/>
  <c r="AM74" i="156"/>
  <c r="R129" i="156"/>
  <c r="T129" i="156" s="1"/>
  <c r="U129" i="156"/>
  <c r="AB129" i="156"/>
  <c r="AC129" i="156"/>
  <c r="AD129" i="156"/>
  <c r="AE129" i="156"/>
  <c r="AF129" i="156"/>
  <c r="AG129" i="156"/>
  <c r="AH129" i="156"/>
  <c r="AI129" i="156"/>
  <c r="AJ129" i="156"/>
  <c r="AK129" i="156"/>
  <c r="AL129" i="156"/>
  <c r="AM129" i="156"/>
  <c r="R122" i="156"/>
  <c r="S122" i="156" s="1"/>
  <c r="U122" i="156"/>
  <c r="AB122" i="156"/>
  <c r="AC122" i="156"/>
  <c r="AD122" i="156"/>
  <c r="AE122" i="156"/>
  <c r="AF122" i="156"/>
  <c r="AG122" i="156"/>
  <c r="AH122" i="156"/>
  <c r="AI122" i="156"/>
  <c r="AJ122" i="156"/>
  <c r="AK122" i="156"/>
  <c r="AL122" i="156"/>
  <c r="AM122" i="156"/>
  <c r="R123" i="156"/>
  <c r="T123" i="156" s="1"/>
  <c r="U123" i="156"/>
  <c r="AB123" i="156"/>
  <c r="AC123" i="156"/>
  <c r="AD123" i="156"/>
  <c r="AE123" i="156"/>
  <c r="AF123" i="156"/>
  <c r="AG123" i="156"/>
  <c r="AH123" i="156"/>
  <c r="AI123" i="156"/>
  <c r="AJ123" i="156"/>
  <c r="AK123" i="156"/>
  <c r="AL123" i="156"/>
  <c r="AM123" i="156"/>
  <c r="R16" i="156"/>
  <c r="S16" i="156" s="1"/>
  <c r="U16" i="156"/>
  <c r="AB16" i="156"/>
  <c r="AC16" i="156"/>
  <c r="AD16" i="156"/>
  <c r="AE16" i="156"/>
  <c r="AF16" i="156"/>
  <c r="AG16" i="156"/>
  <c r="AH16" i="156"/>
  <c r="AI16" i="156"/>
  <c r="AJ16" i="156"/>
  <c r="AK16" i="156"/>
  <c r="AL16" i="156"/>
  <c r="AM16" i="156"/>
  <c r="R113" i="156"/>
  <c r="S113" i="156" s="1"/>
  <c r="U113" i="156"/>
  <c r="AB113" i="156"/>
  <c r="AC113" i="156"/>
  <c r="AD113" i="156"/>
  <c r="AE113" i="156"/>
  <c r="AF113" i="156"/>
  <c r="AG113" i="156"/>
  <c r="AH113" i="156"/>
  <c r="AI113" i="156"/>
  <c r="AJ113" i="156"/>
  <c r="AK113" i="156"/>
  <c r="AL113" i="156"/>
  <c r="AM113" i="156"/>
  <c r="R41" i="156"/>
  <c r="S41" i="156" s="1"/>
  <c r="U41" i="156"/>
  <c r="AB41" i="156"/>
  <c r="AC41" i="156"/>
  <c r="AD41" i="156"/>
  <c r="AE41" i="156"/>
  <c r="AF41" i="156"/>
  <c r="AG41" i="156"/>
  <c r="AH41" i="156"/>
  <c r="AI41" i="156"/>
  <c r="AJ41" i="156"/>
  <c r="AK41" i="156"/>
  <c r="AL41" i="156"/>
  <c r="AM41" i="156"/>
  <c r="B122" i="156"/>
  <c r="B123" i="156"/>
  <c r="B16" i="156"/>
  <c r="L45" i="180" l="1"/>
  <c r="AX123" i="156"/>
  <c r="BI122" i="156"/>
  <c r="AT122" i="156"/>
  <c r="AX74" i="156"/>
  <c r="AX127" i="156"/>
  <c r="AP127" i="156"/>
  <c r="BB129" i="156"/>
  <c r="BI113" i="156"/>
  <c r="AR129" i="156"/>
  <c r="BK127" i="156"/>
  <c r="BH113" i="156"/>
  <c r="BF16" i="156"/>
  <c r="BF122" i="156"/>
  <c r="AX129" i="156"/>
  <c r="BI74" i="156"/>
  <c r="AT74" i="156"/>
  <c r="BB127" i="156"/>
  <c r="BF41" i="156"/>
  <c r="BH74" i="156"/>
  <c r="BK129" i="156"/>
  <c r="AT127" i="156"/>
  <c r="AP98" i="156"/>
  <c r="AX98" i="156"/>
  <c r="BF98" i="156"/>
  <c r="AT98" i="156"/>
  <c r="BB98" i="156"/>
  <c r="BK98" i="156"/>
  <c r="BD98" i="156"/>
  <c r="AR98" i="156"/>
  <c r="AV98" i="156"/>
  <c r="AZ98" i="156"/>
  <c r="Q122" i="156"/>
  <c r="AR122" i="156"/>
  <c r="AZ122" i="156"/>
  <c r="BH122" i="156"/>
  <c r="BK122" i="156"/>
  <c r="AX122" i="156"/>
  <c r="AP122" i="156"/>
  <c r="BD122" i="156"/>
  <c r="AV122" i="156"/>
  <c r="BB122" i="156"/>
  <c r="BI98" i="156"/>
  <c r="Q41" i="156"/>
  <c r="AR41" i="156"/>
  <c r="AZ41" i="156"/>
  <c r="BH41" i="156"/>
  <c r="BI41" i="156"/>
  <c r="AV41" i="156"/>
  <c r="BD41" i="156"/>
  <c r="AX41" i="156"/>
  <c r="BK41" i="156"/>
  <c r="AP41" i="156"/>
  <c r="AT41" i="156"/>
  <c r="BB41" i="156"/>
  <c r="BH98" i="156"/>
  <c r="Q129" i="156"/>
  <c r="AV129" i="156"/>
  <c r="BF129" i="156"/>
  <c r="BI129" i="156"/>
  <c r="AP129" i="156"/>
  <c r="AZ129" i="156"/>
  <c r="AT129" i="156"/>
  <c r="BD129" i="156"/>
  <c r="BI16" i="156"/>
  <c r="AP16" i="156"/>
  <c r="BH16" i="156"/>
  <c r="AZ16" i="156"/>
  <c r="BD16" i="156"/>
  <c r="AR16" i="156"/>
  <c r="AT16" i="156"/>
  <c r="BK16" i="156"/>
  <c r="BB16" i="156"/>
  <c r="BH129" i="156"/>
  <c r="AX16" i="156"/>
  <c r="AV16" i="156"/>
  <c r="Q74" i="156"/>
  <c r="AR74" i="156"/>
  <c r="AV74" i="156"/>
  <c r="BD74" i="156"/>
  <c r="AP74" i="156"/>
  <c r="Q113" i="156"/>
  <c r="AP113" i="156"/>
  <c r="AX113" i="156"/>
  <c r="BF113" i="156"/>
  <c r="AT113" i="156"/>
  <c r="BB113" i="156"/>
  <c r="AR113" i="156"/>
  <c r="BD113" i="156"/>
  <c r="BK113" i="156"/>
  <c r="AV113" i="156"/>
  <c r="AZ113" i="156"/>
  <c r="BF74" i="156"/>
  <c r="BB74" i="156"/>
  <c r="BI127" i="156"/>
  <c r="Q127" i="156"/>
  <c r="AV127" i="156"/>
  <c r="BD127" i="156"/>
  <c r="AR127" i="156"/>
  <c r="AZ127" i="156"/>
  <c r="BH127" i="156"/>
  <c r="BF127" i="156"/>
  <c r="AR123" i="156"/>
  <c r="AZ123" i="156"/>
  <c r="BH123" i="156"/>
  <c r="BI123" i="156"/>
  <c r="AV123" i="156"/>
  <c r="BD123" i="156"/>
  <c r="BB123" i="156"/>
  <c r="AT123" i="156"/>
  <c r="BF123" i="156"/>
  <c r="BK74" i="156"/>
  <c r="AZ74" i="156"/>
  <c r="BK123" i="156"/>
  <c r="AP123" i="156"/>
  <c r="S129" i="156"/>
  <c r="T41" i="156"/>
  <c r="T113" i="156"/>
  <c r="S74" i="156"/>
  <c r="T122" i="156"/>
  <c r="Q16" i="156"/>
  <c r="Q98" i="156"/>
  <c r="Q123" i="156"/>
  <c r="S98" i="156"/>
  <c r="T127" i="156"/>
  <c r="S123" i="156"/>
  <c r="T16" i="156"/>
  <c r="C69" i="78"/>
  <c r="R69" i="55"/>
  <c r="AS16" i="156" l="1"/>
  <c r="BA16" i="156"/>
  <c r="AY16" i="156"/>
  <c r="AQ16" i="156"/>
  <c r="BJ16" i="156"/>
  <c r="AU16" i="156"/>
  <c r="AW16" i="156"/>
  <c r="BL16" i="156"/>
  <c r="BG16" i="156"/>
  <c r="BC16" i="156"/>
  <c r="BE16" i="156"/>
  <c r="AS41" i="156"/>
  <c r="BA41" i="156"/>
  <c r="BL41" i="156"/>
  <c r="AW41" i="156"/>
  <c r="BJ41" i="156"/>
  <c r="BC41" i="156"/>
  <c r="BG41" i="156"/>
  <c r="AQ41" i="156"/>
  <c r="BE41" i="156"/>
  <c r="AU41" i="156"/>
  <c r="AY41" i="156"/>
  <c r="AQ113" i="156"/>
  <c r="AY113" i="156"/>
  <c r="BG113" i="156"/>
  <c r="BJ113" i="156"/>
  <c r="AS113" i="156"/>
  <c r="BE113" i="156"/>
  <c r="AW113" i="156"/>
  <c r="AU113" i="156"/>
  <c r="BA113" i="156"/>
  <c r="BC113" i="156"/>
  <c r="BL113" i="156"/>
  <c r="AQ98" i="156"/>
  <c r="AY98" i="156"/>
  <c r="BG98" i="156"/>
  <c r="BJ98" i="156"/>
  <c r="AW98" i="156"/>
  <c r="BE98" i="156"/>
  <c r="BL98" i="156"/>
  <c r="BA98" i="156"/>
  <c r="BC98" i="156"/>
  <c r="AS98" i="156"/>
  <c r="AU98" i="156"/>
  <c r="BL127" i="156"/>
  <c r="AW127" i="156"/>
  <c r="BE127" i="156"/>
  <c r="AS127" i="156"/>
  <c r="AQ127" i="156"/>
  <c r="BG127" i="156"/>
  <c r="AY127" i="156"/>
  <c r="BA127" i="156"/>
  <c r="BC127" i="156"/>
  <c r="AU127" i="156"/>
  <c r="BJ127" i="156"/>
  <c r="AS74" i="156"/>
  <c r="BL74" i="156"/>
  <c r="BA74" i="156"/>
  <c r="BJ74" i="156"/>
  <c r="AU74" i="156"/>
  <c r="AW74" i="156"/>
  <c r="BG74" i="156"/>
  <c r="AY74" i="156"/>
  <c r="AQ74" i="156"/>
  <c r="BC74" i="156"/>
  <c r="BE74" i="156"/>
  <c r="AQ122" i="156"/>
  <c r="AY122" i="156"/>
  <c r="BG122" i="156"/>
  <c r="AU122" i="156"/>
  <c r="BC122" i="156"/>
  <c r="AW122" i="156"/>
  <c r="BJ122" i="156"/>
  <c r="BL122" i="156"/>
  <c r="AS122" i="156"/>
  <c r="BE122" i="156"/>
  <c r="BA122" i="156"/>
  <c r="AS123" i="156"/>
  <c r="BA123" i="156"/>
  <c r="BL123" i="156"/>
  <c r="AY123" i="156"/>
  <c r="AU123" i="156"/>
  <c r="AQ123" i="156"/>
  <c r="BC123" i="156"/>
  <c r="BE123" i="156"/>
  <c r="AW123" i="156"/>
  <c r="BG123" i="156"/>
  <c r="BJ123" i="156"/>
  <c r="AW129" i="156"/>
  <c r="BE129" i="156"/>
  <c r="AY129" i="156"/>
  <c r="BJ129" i="156"/>
  <c r="AS129" i="156"/>
  <c r="BC129" i="156"/>
  <c r="BG129" i="156"/>
  <c r="AU129" i="156"/>
  <c r="AQ129" i="156"/>
  <c r="BL129" i="156"/>
  <c r="BA129" i="156"/>
  <c r="J6" i="70" l="1"/>
  <c r="L6" i="70"/>
  <c r="M6" i="70" s="1"/>
  <c r="J7" i="70"/>
  <c r="K7" i="70" s="1"/>
  <c r="L7" i="70"/>
  <c r="G6" i="70"/>
  <c r="I6" i="70" s="1"/>
  <c r="G7" i="70"/>
  <c r="H7" i="70" s="1"/>
  <c r="F7" i="70"/>
  <c r="F6" i="70"/>
  <c r="D6" i="70"/>
  <c r="E6" i="70"/>
  <c r="D7" i="70"/>
  <c r="E7" i="70"/>
  <c r="B6" i="70"/>
  <c r="B7" i="70"/>
  <c r="B8" i="70"/>
  <c r="K6" i="70" l="1"/>
  <c r="M7" i="70"/>
  <c r="H6" i="70"/>
  <c r="I7" i="70"/>
  <c r="R42" i="55"/>
  <c r="R43" i="55"/>
  <c r="C42" i="78"/>
  <c r="C43" i="78"/>
  <c r="R40" i="55"/>
  <c r="C40" i="78"/>
  <c r="R184" i="55"/>
  <c r="C184" i="78"/>
  <c r="R185" i="55"/>
  <c r="C185" i="78"/>
  <c r="C197" i="78"/>
  <c r="R132" i="156"/>
  <c r="T132" i="156" s="1"/>
  <c r="U132" i="156"/>
  <c r="AB132" i="156"/>
  <c r="AC132" i="156"/>
  <c r="AD132" i="156"/>
  <c r="AE132" i="156"/>
  <c r="AF132" i="156"/>
  <c r="AG132" i="156"/>
  <c r="AH132" i="156"/>
  <c r="AI132" i="156"/>
  <c r="AJ132" i="156"/>
  <c r="AK132" i="156"/>
  <c r="AL132" i="156"/>
  <c r="AM132" i="156"/>
  <c r="R131" i="156"/>
  <c r="U131" i="156"/>
  <c r="AB131" i="156"/>
  <c r="AC131" i="156"/>
  <c r="AD131" i="156"/>
  <c r="AE131" i="156"/>
  <c r="AF131" i="156"/>
  <c r="AG131" i="156"/>
  <c r="AH131" i="156"/>
  <c r="AI131" i="156"/>
  <c r="AJ131" i="156"/>
  <c r="AK131" i="156"/>
  <c r="AL131" i="156"/>
  <c r="AM131" i="156"/>
  <c r="Q132" i="156"/>
  <c r="B132" i="156"/>
  <c r="B131" i="156"/>
  <c r="U10" i="156"/>
  <c r="AB10" i="156"/>
  <c r="AC10" i="156"/>
  <c r="AD10" i="156"/>
  <c r="AE10" i="156"/>
  <c r="AF10" i="156"/>
  <c r="AG10" i="156"/>
  <c r="AH10" i="156"/>
  <c r="AI10" i="156"/>
  <c r="AJ10" i="156"/>
  <c r="AK10" i="156"/>
  <c r="AL10" i="156"/>
  <c r="AM10" i="156"/>
  <c r="R10" i="156"/>
  <c r="T10" i="156" s="1"/>
  <c r="B10" i="156"/>
  <c r="BK132" i="156" l="1"/>
  <c r="AV132" i="156"/>
  <c r="BE132" i="156"/>
  <c r="BB132" i="156"/>
  <c r="BI131" i="156"/>
  <c r="BJ132" i="156"/>
  <c r="AT132" i="156"/>
  <c r="BL132" i="156"/>
  <c r="BC132" i="156"/>
  <c r="AR132" i="156"/>
  <c r="AW132" i="156"/>
  <c r="AQ132" i="156"/>
  <c r="S132" i="156"/>
  <c r="T131" i="156"/>
  <c r="S131" i="156"/>
  <c r="BD131" i="156"/>
  <c r="AT131" i="156"/>
  <c r="BD132" i="156"/>
  <c r="AU132" i="156"/>
  <c r="AP131" i="156"/>
  <c r="AX131" i="156"/>
  <c r="BF131" i="156"/>
  <c r="AR131" i="156"/>
  <c r="AZ131" i="156"/>
  <c r="BH131" i="156"/>
  <c r="Q131" i="156"/>
  <c r="AV131" i="156"/>
  <c r="BB131" i="156"/>
  <c r="BK131" i="156"/>
  <c r="BF132" i="156"/>
  <c r="AX132" i="156"/>
  <c r="AP132" i="156"/>
  <c r="BI132" i="156"/>
  <c r="BA132" i="156"/>
  <c r="AS132" i="156"/>
  <c r="BH132" i="156"/>
  <c r="AZ132" i="156"/>
  <c r="BG132" i="156"/>
  <c r="AY132" i="156"/>
  <c r="S10" i="156"/>
  <c r="AV10" i="156"/>
  <c r="Q10" i="156"/>
  <c r="AT10" i="156"/>
  <c r="BB10" i="156"/>
  <c r="AX10" i="156"/>
  <c r="BI10" i="156"/>
  <c r="AZ10" i="156"/>
  <c r="BK10" i="156"/>
  <c r="AR10" i="156"/>
  <c r="BD10" i="156"/>
  <c r="BF10" i="156"/>
  <c r="BH10" i="156"/>
  <c r="AP10" i="156"/>
  <c r="AQ131" i="156" l="1"/>
  <c r="AY131" i="156"/>
  <c r="BG131" i="156"/>
  <c r="AW131" i="156"/>
  <c r="BE131" i="156"/>
  <c r="AU131" i="156"/>
  <c r="AS131" i="156"/>
  <c r="BL131" i="156"/>
  <c r="BC131" i="156"/>
  <c r="BA131" i="156"/>
  <c r="BJ131" i="156"/>
  <c r="AQ10" i="156"/>
  <c r="AY10" i="156"/>
  <c r="BG10" i="156"/>
  <c r="BJ10" i="156"/>
  <c r="BC10" i="156"/>
  <c r="AS10" i="156"/>
  <c r="BA10" i="156"/>
  <c r="AW10" i="156"/>
  <c r="BE10" i="156"/>
  <c r="BL10" i="156"/>
  <c r="AU10" i="156"/>
  <c r="C198" i="78" l="1"/>
  <c r="R174" i="55" l="1"/>
  <c r="C174" i="78"/>
  <c r="R159" i="55"/>
  <c r="C159" i="78"/>
  <c r="R140" i="55"/>
  <c r="R141" i="55"/>
  <c r="C140" i="78"/>
  <c r="C141" i="78"/>
  <c r="R138" i="55"/>
  <c r="R137" i="55"/>
  <c r="C137" i="78"/>
  <c r="C138" i="78"/>
  <c r="C135" i="78"/>
  <c r="R118" i="55"/>
  <c r="R117" i="55"/>
  <c r="C118" i="78"/>
  <c r="C117" i="78"/>
  <c r="R109" i="55"/>
  <c r="C109" i="78"/>
  <c r="W106" i="156" l="1"/>
  <c r="V106" i="156"/>
  <c r="V104" i="156"/>
  <c r="Y106" i="156"/>
  <c r="Z106" i="156" s="1"/>
  <c r="Y104" i="156"/>
  <c r="Z104" i="156" s="1"/>
  <c r="W104" i="156"/>
  <c r="R96" i="55"/>
  <c r="C96" i="78"/>
  <c r="R91" i="55"/>
  <c r="C91" i="78"/>
  <c r="R89" i="55"/>
  <c r="C89" i="78"/>
  <c r="R88" i="55"/>
  <c r="C88" i="78"/>
  <c r="R87" i="55"/>
  <c r="C87" i="78"/>
  <c r="R86" i="55"/>
  <c r="C86" i="78"/>
  <c r="X106" i="156" l="1"/>
  <c r="AA106" i="156" s="1"/>
  <c r="Y113" i="156"/>
  <c r="Z113" i="156" s="1"/>
  <c r="V99" i="156"/>
  <c r="W113" i="156"/>
  <c r="V113" i="156"/>
  <c r="Y99" i="156"/>
  <c r="Z99" i="156" s="1"/>
  <c r="W99" i="156"/>
  <c r="X104" i="156"/>
  <c r="AA104" i="156" s="1"/>
  <c r="Y41" i="156"/>
  <c r="Z41" i="156" s="1"/>
  <c r="V123" i="156"/>
  <c r="Y123" i="156"/>
  <c r="Z123" i="156" s="1"/>
  <c r="W41" i="156"/>
  <c r="V41" i="156"/>
  <c r="W123" i="156"/>
  <c r="P7" i="70"/>
  <c r="T7" i="70" s="1"/>
  <c r="P6" i="70"/>
  <c r="T6" i="70" s="1"/>
  <c r="N6" i="70"/>
  <c r="N7" i="70"/>
  <c r="O7" i="70"/>
  <c r="O6" i="70"/>
  <c r="R74" i="55"/>
  <c r="C74" i="78"/>
  <c r="R73" i="55"/>
  <c r="C73" i="78"/>
  <c r="R58" i="55"/>
  <c r="C58" i="78"/>
  <c r="R57" i="55"/>
  <c r="C57" i="78"/>
  <c r="X113" i="156" l="1"/>
  <c r="AA113" i="156" s="1"/>
  <c r="X99" i="156"/>
  <c r="AA99" i="156" s="1"/>
  <c r="X41" i="156"/>
  <c r="AA41" i="156" s="1"/>
  <c r="X123" i="156"/>
  <c r="AA123" i="156" s="1"/>
  <c r="Q7" i="70"/>
  <c r="R7" i="70" s="1"/>
  <c r="S7" i="70" s="1"/>
  <c r="Q6" i="70"/>
  <c r="R6" i="70" s="1"/>
  <c r="S6" i="70" s="1"/>
  <c r="R44" i="55"/>
  <c r="C44" i="78"/>
  <c r="R35" i="55"/>
  <c r="C35" i="78"/>
  <c r="C34" i="78"/>
  <c r="R9" i="55"/>
  <c r="C9" i="78"/>
  <c r="R7" i="55"/>
  <c r="R11" i="55"/>
  <c r="R12" i="55"/>
  <c r="R13" i="55"/>
  <c r="R16" i="55"/>
  <c r="R19" i="55"/>
  <c r="R24" i="55"/>
  <c r="R2" i="55"/>
  <c r="O2" i="55"/>
  <c r="V120" i="156" s="1"/>
  <c r="P2" i="55"/>
  <c r="W120" i="156" s="1"/>
  <c r="Q2" i="55"/>
  <c r="Y120" i="156" s="1"/>
  <c r="Z120" i="156" s="1"/>
  <c r="C2" i="78"/>
  <c r="X120" i="156" l="1"/>
  <c r="AA120" i="156" s="1"/>
  <c r="G31" i="95" l="1"/>
  <c r="F31" i="95"/>
  <c r="E31" i="95"/>
  <c r="D31" i="95"/>
  <c r="P31" i="95" l="1"/>
  <c r="S31" i="95"/>
  <c r="Q31" i="95"/>
  <c r="R31" i="95"/>
  <c r="AF49" i="156"/>
  <c r="AG49" i="156"/>
  <c r="AH49" i="156"/>
  <c r="AI49" i="156"/>
  <c r="AJ49" i="156"/>
  <c r="AK49" i="156"/>
  <c r="AL49" i="156"/>
  <c r="AM49" i="156"/>
  <c r="AF50" i="156"/>
  <c r="AG50" i="156"/>
  <c r="AH50" i="156"/>
  <c r="AI50" i="156"/>
  <c r="AJ50" i="156"/>
  <c r="AK50" i="156"/>
  <c r="AL50" i="156"/>
  <c r="AM50" i="156"/>
  <c r="U49" i="156"/>
  <c r="AB49" i="156"/>
  <c r="AC49" i="156"/>
  <c r="AD49" i="156"/>
  <c r="AE49" i="156"/>
  <c r="U50" i="156"/>
  <c r="AB50" i="156"/>
  <c r="AC50" i="156"/>
  <c r="AD50" i="156"/>
  <c r="AE50" i="156"/>
  <c r="AF110" i="156"/>
  <c r="AG110" i="156"/>
  <c r="AH110" i="156"/>
  <c r="AI110" i="156"/>
  <c r="AJ110" i="156"/>
  <c r="AK110" i="156"/>
  <c r="AL110" i="156"/>
  <c r="AM110" i="156"/>
  <c r="U110" i="156"/>
  <c r="AB110" i="156"/>
  <c r="AC110" i="156"/>
  <c r="AD110" i="156"/>
  <c r="AE110" i="156"/>
  <c r="AF55" i="156"/>
  <c r="AG55" i="156"/>
  <c r="AH55" i="156"/>
  <c r="AI55" i="156"/>
  <c r="AJ55" i="156"/>
  <c r="AK55" i="156"/>
  <c r="AL55" i="156"/>
  <c r="AM55" i="156"/>
  <c r="AF33" i="156"/>
  <c r="AX33" i="156" s="1"/>
  <c r="AG33" i="156"/>
  <c r="AZ33" i="156" s="1"/>
  <c r="AH33" i="156"/>
  <c r="BB33" i="156" s="1"/>
  <c r="AI33" i="156"/>
  <c r="BD33" i="156" s="1"/>
  <c r="AJ33" i="156"/>
  <c r="BF33" i="156" s="1"/>
  <c r="AK33" i="156"/>
  <c r="BH33" i="156" s="1"/>
  <c r="AL33" i="156"/>
  <c r="BI33" i="156" s="1"/>
  <c r="AM33" i="156"/>
  <c r="BK33" i="156" s="1"/>
  <c r="AF7" i="156"/>
  <c r="AG7" i="156"/>
  <c r="AH7" i="156"/>
  <c r="AI7" i="156"/>
  <c r="AJ7" i="156"/>
  <c r="AK7" i="156"/>
  <c r="AL7" i="156"/>
  <c r="AM7" i="156"/>
  <c r="U55" i="156"/>
  <c r="AB55" i="156"/>
  <c r="AC55" i="156"/>
  <c r="AD55" i="156"/>
  <c r="AE55" i="156"/>
  <c r="U14" i="156"/>
  <c r="AB14" i="156"/>
  <c r="AP14" i="156" s="1"/>
  <c r="AC14" i="156"/>
  <c r="AR14" i="156" s="1"/>
  <c r="AD14" i="156"/>
  <c r="AT14" i="156" s="1"/>
  <c r="AE14" i="156"/>
  <c r="AV14" i="156" s="1"/>
  <c r="U33" i="156"/>
  <c r="AB33" i="156"/>
  <c r="AP33" i="156" s="1"/>
  <c r="AC33" i="156"/>
  <c r="AR33" i="156" s="1"/>
  <c r="AD33" i="156"/>
  <c r="AT33" i="156" s="1"/>
  <c r="AE33" i="156"/>
  <c r="AV33" i="156" s="1"/>
  <c r="U95" i="156"/>
  <c r="AB95" i="156"/>
  <c r="AP95" i="156" s="1"/>
  <c r="AC95" i="156"/>
  <c r="AR95" i="156" s="1"/>
  <c r="AD95" i="156"/>
  <c r="AT95" i="156" s="1"/>
  <c r="AE95" i="156"/>
  <c r="AV95" i="156" s="1"/>
  <c r="U30" i="156"/>
  <c r="AB30" i="156"/>
  <c r="AP30" i="156" s="1"/>
  <c r="AC30" i="156"/>
  <c r="AR30" i="156" s="1"/>
  <c r="AD30" i="156"/>
  <c r="AT30" i="156" s="1"/>
  <c r="AE30" i="156"/>
  <c r="AV30" i="156" s="1"/>
  <c r="U4" i="156"/>
  <c r="AB4" i="156"/>
  <c r="AP4" i="156" s="1"/>
  <c r="AC4" i="156"/>
  <c r="AR4" i="156" s="1"/>
  <c r="AD4" i="156"/>
  <c r="AT4" i="156" s="1"/>
  <c r="AE4" i="156"/>
  <c r="AV4" i="156" s="1"/>
  <c r="U7" i="156"/>
  <c r="AB7" i="156"/>
  <c r="AC7" i="156"/>
  <c r="AD7" i="156"/>
  <c r="AE7" i="156"/>
  <c r="AF14" i="156"/>
  <c r="AX14" i="156" s="1"/>
  <c r="AG14" i="156"/>
  <c r="AZ14" i="156" s="1"/>
  <c r="AH14" i="156"/>
  <c r="BB14" i="156" s="1"/>
  <c r="AI14" i="156"/>
  <c r="BD14" i="156" s="1"/>
  <c r="AJ14" i="156"/>
  <c r="BF14" i="156" s="1"/>
  <c r="AK14" i="156"/>
  <c r="BH14" i="156" s="1"/>
  <c r="AL14" i="156"/>
  <c r="BI14" i="156" s="1"/>
  <c r="AM14" i="156"/>
  <c r="BK14" i="156" s="1"/>
  <c r="AF95" i="156"/>
  <c r="AX95" i="156" s="1"/>
  <c r="AG95" i="156"/>
  <c r="AZ95" i="156" s="1"/>
  <c r="AH95" i="156"/>
  <c r="BB95" i="156" s="1"/>
  <c r="AI95" i="156"/>
  <c r="BD95" i="156" s="1"/>
  <c r="AJ95" i="156"/>
  <c r="BF95" i="156" s="1"/>
  <c r="AK95" i="156"/>
  <c r="BH95" i="156" s="1"/>
  <c r="AL95" i="156"/>
  <c r="BI95" i="156" s="1"/>
  <c r="AM95" i="156"/>
  <c r="BK95" i="156" s="1"/>
  <c r="AF30" i="156"/>
  <c r="AX30" i="156" s="1"/>
  <c r="AG30" i="156"/>
  <c r="AZ30" i="156" s="1"/>
  <c r="AH30" i="156"/>
  <c r="BB30" i="156" s="1"/>
  <c r="AI30" i="156"/>
  <c r="BD30" i="156" s="1"/>
  <c r="AJ30" i="156"/>
  <c r="BF30" i="156" s="1"/>
  <c r="AK30" i="156"/>
  <c r="BH30" i="156" s="1"/>
  <c r="AL30" i="156"/>
  <c r="BI30" i="156" s="1"/>
  <c r="AM30" i="156"/>
  <c r="BK30" i="156" s="1"/>
  <c r="AF4" i="156"/>
  <c r="AX4" i="156" s="1"/>
  <c r="AG4" i="156"/>
  <c r="AZ4" i="156" s="1"/>
  <c r="AH4" i="156"/>
  <c r="BB4" i="156" s="1"/>
  <c r="AI4" i="156"/>
  <c r="BD4" i="156" s="1"/>
  <c r="AJ4" i="156"/>
  <c r="BF4" i="156" s="1"/>
  <c r="AK4" i="156"/>
  <c r="BH4" i="156" s="1"/>
  <c r="AL4" i="156"/>
  <c r="BI4" i="156" s="1"/>
  <c r="AM4" i="156"/>
  <c r="BK4" i="156" s="1"/>
  <c r="R33" i="156"/>
  <c r="S33" i="156" s="1"/>
  <c r="R95" i="156"/>
  <c r="T95" i="156" s="1"/>
  <c r="C208" i="78"/>
  <c r="C139" i="78"/>
  <c r="R139" i="55"/>
  <c r="R60" i="55"/>
  <c r="C60" i="78"/>
  <c r="Q33" i="156"/>
  <c r="AU33" i="156" l="1"/>
  <c r="BC33" i="156"/>
  <c r="BL33" i="156"/>
  <c r="AW33" i="156"/>
  <c r="BE33" i="156"/>
  <c r="AS33" i="156"/>
  <c r="BG33" i="156"/>
  <c r="BJ33" i="156"/>
  <c r="AQ33" i="156"/>
  <c r="AY33" i="156"/>
  <c r="BA33" i="156"/>
  <c r="T33" i="156"/>
  <c r="S95" i="156"/>
  <c r="C189" i="78" l="1"/>
  <c r="R189" i="55"/>
  <c r="C172" i="78"/>
  <c r="R172" i="55"/>
  <c r="C85" i="78"/>
  <c r="C84" i="78"/>
  <c r="R84" i="55"/>
  <c r="R85" i="55"/>
  <c r="C199" i="78"/>
  <c r="C78" i="78"/>
  <c r="C83" i="78"/>
  <c r="R83" i="55"/>
  <c r="C196" i="78"/>
  <c r="C158" i="78"/>
  <c r="R158" i="55"/>
  <c r="C157" i="78"/>
  <c r="R157" i="55"/>
  <c r="C110" i="78"/>
  <c r="R110" i="55"/>
  <c r="C62" i="78"/>
  <c r="R62" i="55"/>
  <c r="C11" i="78"/>
  <c r="C6" i="78"/>
  <c r="L17" i="180" l="1"/>
  <c r="L19" i="180"/>
  <c r="L25" i="180"/>
  <c r="L13" i="180"/>
  <c r="L31" i="180" l="1"/>
  <c r="L33" i="180"/>
  <c r="L47" i="180"/>
  <c r="L11" i="180"/>
  <c r="H32" i="95"/>
  <c r="H34" i="95" s="1"/>
  <c r="I32" i="95"/>
  <c r="I34" i="95" s="1"/>
  <c r="J32" i="95"/>
  <c r="J34" i="95" s="1"/>
  <c r="K32" i="95"/>
  <c r="K34" i="95" s="1"/>
  <c r="L15" i="95"/>
  <c r="M15" i="95"/>
  <c r="N15" i="95"/>
  <c r="O15" i="95"/>
  <c r="L16" i="95"/>
  <c r="M16" i="95"/>
  <c r="N16" i="95"/>
  <c r="O16" i="95"/>
  <c r="D16" i="95"/>
  <c r="E16" i="95"/>
  <c r="F16" i="95"/>
  <c r="G16" i="95"/>
  <c r="L6" i="95"/>
  <c r="M6" i="95"/>
  <c r="N6" i="95"/>
  <c r="O6" i="95"/>
  <c r="L7" i="95"/>
  <c r="M7" i="95"/>
  <c r="N7" i="95"/>
  <c r="O7" i="95"/>
  <c r="Q14" i="156"/>
  <c r="Q95" i="156"/>
  <c r="Q30" i="156"/>
  <c r="Q4" i="156"/>
  <c r="L9" i="180" l="1"/>
  <c r="L49" i="180" s="1"/>
  <c r="AU4" i="156"/>
  <c r="BC4" i="156"/>
  <c r="BL4" i="156"/>
  <c r="AW4" i="156"/>
  <c r="BE4" i="156"/>
  <c r="BA4" i="156"/>
  <c r="AQ4" i="156"/>
  <c r="AY4" i="156"/>
  <c r="BG4" i="156"/>
  <c r="BJ4" i="156"/>
  <c r="AS4" i="156"/>
  <c r="AW30" i="156"/>
  <c r="BE30" i="156"/>
  <c r="AQ30" i="156"/>
  <c r="AY30" i="156"/>
  <c r="BG30" i="156"/>
  <c r="BJ30" i="156"/>
  <c r="BC30" i="156"/>
  <c r="AU30" i="156"/>
  <c r="BA30" i="156"/>
  <c r="AS30" i="156"/>
  <c r="BL30" i="156"/>
  <c r="BJ95" i="156"/>
  <c r="AU95" i="156"/>
  <c r="BC95" i="156"/>
  <c r="BL95" i="156"/>
  <c r="BA95" i="156"/>
  <c r="AQ95" i="156"/>
  <c r="BE95" i="156"/>
  <c r="AS95" i="156"/>
  <c r="BG95" i="156"/>
  <c r="AW95" i="156"/>
  <c r="AY95" i="156"/>
  <c r="AX110" i="156"/>
  <c r="AP110" i="156"/>
  <c r="BH110" i="156"/>
  <c r="BB110" i="156"/>
  <c r="AR110" i="156"/>
  <c r="BD110" i="156"/>
  <c r="BF110" i="156"/>
  <c r="BI110" i="156"/>
  <c r="BK110" i="156"/>
  <c r="AT110" i="156"/>
  <c r="AV110" i="156"/>
  <c r="AZ110" i="156"/>
  <c r="AR7" i="156"/>
  <c r="AZ7" i="156"/>
  <c r="BH7" i="156"/>
  <c r="AT7" i="156"/>
  <c r="BD7" i="156"/>
  <c r="BB7" i="156"/>
  <c r="AP7" i="156"/>
  <c r="BF7" i="156"/>
  <c r="AV7" i="156"/>
  <c r="BI7" i="156"/>
  <c r="BK7" i="156"/>
  <c r="AX7" i="156"/>
  <c r="AT55" i="156"/>
  <c r="BD55" i="156"/>
  <c r="AV55" i="156"/>
  <c r="BB55" i="156"/>
  <c r="AR55" i="156"/>
  <c r="BH55" i="156"/>
  <c r="AX55" i="156"/>
  <c r="AP55" i="156"/>
  <c r="AZ55" i="156"/>
  <c r="BK55" i="156"/>
  <c r="BF55" i="156"/>
  <c r="BI55" i="156"/>
  <c r="BL14" i="156"/>
  <c r="AY14" i="156"/>
  <c r="AQ14" i="156"/>
  <c r="BA14" i="156"/>
  <c r="BJ14" i="156"/>
  <c r="AW14" i="156"/>
  <c r="BC14" i="156"/>
  <c r="AU14" i="156"/>
  <c r="AS14" i="156"/>
  <c r="BE14" i="156"/>
  <c r="BG14" i="156"/>
  <c r="AV49" i="156"/>
  <c r="BD49" i="156"/>
  <c r="BB49" i="156"/>
  <c r="BK49" i="156"/>
  <c r="AR49" i="156"/>
  <c r="AP49" i="156"/>
  <c r="BF49" i="156"/>
  <c r="AT49" i="156"/>
  <c r="BH49" i="156"/>
  <c r="BI49" i="156"/>
  <c r="AX49" i="156"/>
  <c r="AZ49" i="156"/>
  <c r="AP50" i="156"/>
  <c r="AX50" i="156"/>
  <c r="BF50" i="156"/>
  <c r="BB50" i="156"/>
  <c r="BK50" i="156"/>
  <c r="BH50" i="156"/>
  <c r="BI50" i="156"/>
  <c r="BD50" i="156"/>
  <c r="AR50" i="156"/>
  <c r="AT50" i="156"/>
  <c r="AV50" i="156"/>
  <c r="AZ50" i="156"/>
  <c r="Q55" i="156"/>
  <c r="Q49" i="156"/>
  <c r="Q50" i="156"/>
  <c r="Q110" i="156"/>
  <c r="Q7" i="156"/>
  <c r="R47" i="55"/>
  <c r="R48" i="55"/>
  <c r="R52" i="55"/>
  <c r="R68" i="55"/>
  <c r="C12" i="78"/>
  <c r="C13" i="78"/>
  <c r="C16" i="78"/>
  <c r="C19" i="78"/>
  <c r="C24" i="78"/>
  <c r="C47" i="78"/>
  <c r="C48" i="78"/>
  <c r="C52" i="78"/>
  <c r="C68" i="78"/>
  <c r="AW110" i="156" l="1"/>
  <c r="BE110" i="156"/>
  <c r="BG110" i="156"/>
  <c r="AY110" i="156"/>
  <c r="BA110" i="156"/>
  <c r="BL110" i="156"/>
  <c r="BC110" i="156"/>
  <c r="AQ110" i="156"/>
  <c r="AS110" i="156"/>
  <c r="BJ110" i="156"/>
  <c r="AU110" i="156"/>
  <c r="AQ55" i="156"/>
  <c r="AY55" i="156"/>
  <c r="BG55" i="156"/>
  <c r="BC55" i="156"/>
  <c r="BL55" i="156"/>
  <c r="AU55" i="156"/>
  <c r="BE55" i="156"/>
  <c r="BA55" i="156"/>
  <c r="AW55" i="156"/>
  <c r="AS55" i="156"/>
  <c r="BJ55" i="156"/>
  <c r="AW7" i="156"/>
  <c r="BE7" i="156"/>
  <c r="BA7" i="156"/>
  <c r="BL7" i="156"/>
  <c r="BC7" i="156"/>
  <c r="AQ7" i="156"/>
  <c r="AU7" i="156"/>
  <c r="AY7" i="156"/>
  <c r="AS7" i="156"/>
  <c r="BG7" i="156"/>
  <c r="BJ7" i="156"/>
  <c r="AS50" i="156"/>
  <c r="AW50" i="156"/>
  <c r="AY50" i="156"/>
  <c r="BA50" i="156"/>
  <c r="BC50" i="156"/>
  <c r="AQ50" i="156"/>
  <c r="BE50" i="156"/>
  <c r="AU50" i="156"/>
  <c r="BG50" i="156"/>
  <c r="BJ50" i="156"/>
  <c r="BL50" i="156"/>
  <c r="BL49" i="156"/>
  <c r="AS49" i="156"/>
  <c r="AQ49" i="156"/>
  <c r="BA49" i="156"/>
  <c r="BC49" i="156"/>
  <c r="AU49" i="156"/>
  <c r="BG49" i="156"/>
  <c r="AW49" i="156"/>
  <c r="BJ49" i="156"/>
  <c r="BE49" i="156"/>
  <c r="AY49" i="156"/>
  <c r="R7" i="156" l="1"/>
  <c r="T7" i="156" s="1"/>
  <c r="B7" i="156"/>
  <c r="R55" i="156"/>
  <c r="T55" i="156" s="1"/>
  <c r="R110" i="156"/>
  <c r="B110" i="156"/>
  <c r="R4" i="156"/>
  <c r="B4" i="156"/>
  <c r="R50" i="156"/>
  <c r="S50" i="156" s="1"/>
  <c r="R30" i="156"/>
  <c r="R49" i="156"/>
  <c r="S49" i="156" s="1"/>
  <c r="R14" i="156"/>
  <c r="S14" i="156" s="1"/>
  <c r="AM121" i="156"/>
  <c r="AL121" i="156"/>
  <c r="AK121" i="156"/>
  <c r="AJ121" i="156"/>
  <c r="AI121" i="156"/>
  <c r="AH121" i="156"/>
  <c r="AG121" i="156"/>
  <c r="AF121" i="156"/>
  <c r="AE121" i="156"/>
  <c r="AD121" i="156"/>
  <c r="AC121" i="156"/>
  <c r="AB121" i="156"/>
  <c r="U121" i="156"/>
  <c r="R121" i="156"/>
  <c r="S121" i="156" s="1"/>
  <c r="O144" i="156"/>
  <c r="B121" i="156"/>
  <c r="C79" i="78"/>
  <c r="AP121" i="156" l="1"/>
  <c r="S30" i="156"/>
  <c r="T30" i="156"/>
  <c r="AR121" i="156"/>
  <c r="BF121" i="156"/>
  <c r="BH121" i="156"/>
  <c r="BD121" i="156"/>
  <c r="AX121" i="156"/>
  <c r="AZ121" i="156"/>
  <c r="S110" i="156"/>
  <c r="T110" i="156"/>
  <c r="S4" i="156"/>
  <c r="T4" i="156"/>
  <c r="T50" i="156"/>
  <c r="S7" i="156"/>
  <c r="BI121" i="156"/>
  <c r="BB121" i="156"/>
  <c r="BK121" i="156"/>
  <c r="Q121" i="156"/>
  <c r="Q144" i="156" s="1"/>
  <c r="AT121" i="156"/>
  <c r="T121" i="156"/>
  <c r="AV121" i="156"/>
  <c r="T14" i="156"/>
  <c r="T49" i="156"/>
  <c r="S55" i="156"/>
  <c r="BI141" i="156" l="1"/>
  <c r="BD141" i="156"/>
  <c r="BF141" i="156"/>
  <c r="AT141" i="156"/>
  <c r="AP141" i="156"/>
  <c r="BH141" i="156"/>
  <c r="AV141" i="156"/>
  <c r="BK141" i="156"/>
  <c r="AZ141" i="156"/>
  <c r="BB141" i="156"/>
  <c r="AX141" i="156"/>
  <c r="AR141" i="156"/>
  <c r="BA121" i="156"/>
  <c r="AS121" i="156"/>
  <c r="AW121" i="156"/>
  <c r="BE121" i="156"/>
  <c r="AU121" i="156"/>
  <c r="BG121" i="156"/>
  <c r="AQ121" i="156"/>
  <c r="BL121" i="156"/>
  <c r="BC121" i="156"/>
  <c r="BJ121" i="156"/>
  <c r="AY121" i="156"/>
  <c r="BJ141" i="156" l="1"/>
  <c r="AS141" i="156"/>
  <c r="BC141" i="156"/>
  <c r="BA141" i="156"/>
  <c r="BL141" i="156"/>
  <c r="AQ141" i="156"/>
  <c r="BG141" i="156"/>
  <c r="AU141" i="156"/>
  <c r="BE141" i="156"/>
  <c r="AY141" i="156"/>
  <c r="AW141" i="156"/>
  <c r="R79" i="55" l="1"/>
  <c r="R80" i="55"/>
  <c r="R81" i="55"/>
  <c r="R82" i="55"/>
  <c r="R107" i="55"/>
  <c r="R108" i="55"/>
  <c r="R94" i="55"/>
  <c r="R95" i="55"/>
  <c r="R98" i="55"/>
  <c r="R99" i="55"/>
  <c r="R112" i="55"/>
  <c r="R114" i="55"/>
  <c r="R119" i="55"/>
  <c r="R120" i="55"/>
  <c r="R123" i="55"/>
  <c r="R133" i="55"/>
  <c r="R136" i="55"/>
  <c r="R152" i="55"/>
  <c r="R153" i="55"/>
  <c r="R154" i="55"/>
  <c r="R163" i="55"/>
  <c r="R164" i="55"/>
  <c r="R165" i="55"/>
  <c r="R166" i="55"/>
  <c r="R167" i="55"/>
  <c r="R175" i="55"/>
  <c r="R176" i="55"/>
  <c r="R177" i="55"/>
  <c r="R178" i="55"/>
  <c r="R179" i="55"/>
  <c r="R180" i="55"/>
  <c r="R190" i="55"/>
  <c r="R191" i="55"/>
  <c r="R192" i="55"/>
  <c r="R193" i="55"/>
  <c r="R194" i="55"/>
  <c r="R209" i="55"/>
  <c r="R210" i="55"/>
  <c r="R211" i="55"/>
  <c r="R212" i="55"/>
  <c r="R219" i="55"/>
  <c r="J2" i="70" l="1"/>
  <c r="L2" i="70"/>
  <c r="J3" i="70"/>
  <c r="L3" i="70"/>
  <c r="J4" i="70"/>
  <c r="L4" i="70"/>
  <c r="J5" i="70"/>
  <c r="L5" i="70"/>
  <c r="G2" i="70"/>
  <c r="I2" i="70" s="1"/>
  <c r="G3" i="70"/>
  <c r="H3" i="70" s="1"/>
  <c r="G4" i="70"/>
  <c r="H4" i="70" s="1"/>
  <c r="G5" i="70"/>
  <c r="I5" i="70" s="1"/>
  <c r="F5" i="70"/>
  <c r="F4" i="70"/>
  <c r="F3" i="70"/>
  <c r="F2" i="70"/>
  <c r="E2" i="70"/>
  <c r="E3" i="70"/>
  <c r="E4" i="70"/>
  <c r="E5" i="70"/>
  <c r="D2" i="70"/>
  <c r="D3" i="70"/>
  <c r="D4" i="70"/>
  <c r="D5" i="70"/>
  <c r="B3" i="70"/>
  <c r="B4" i="70"/>
  <c r="B5" i="70"/>
  <c r="B2" i="70"/>
  <c r="J16" i="70"/>
  <c r="L16" i="70"/>
  <c r="J17" i="70"/>
  <c r="L17" i="70"/>
  <c r="G17" i="70"/>
  <c r="H17" i="70" s="1"/>
  <c r="F17" i="70"/>
  <c r="D17" i="70"/>
  <c r="E17" i="70"/>
  <c r="G16" i="70"/>
  <c r="I16" i="70" s="1"/>
  <c r="F16" i="70"/>
  <c r="D16" i="70"/>
  <c r="E16" i="70"/>
  <c r="B16" i="70"/>
  <c r="B17" i="70"/>
  <c r="K17" i="70" l="1"/>
  <c r="K5" i="70"/>
  <c r="M16" i="70"/>
  <c r="K16" i="70"/>
  <c r="K4" i="70"/>
  <c r="M4" i="70"/>
  <c r="M17" i="70"/>
  <c r="M2" i="70"/>
  <c r="M5" i="70"/>
  <c r="I3" i="70"/>
  <c r="H5" i="70"/>
  <c r="I4" i="70"/>
  <c r="H2" i="70"/>
  <c r="M3" i="70"/>
  <c r="K2" i="70"/>
  <c r="K3" i="70"/>
  <c r="I17" i="70"/>
  <c r="H16" i="70"/>
  <c r="C175" i="78" l="1"/>
  <c r="C176" i="78"/>
  <c r="C177" i="78"/>
  <c r="C178" i="78"/>
  <c r="C179" i="78"/>
  <c r="C180" i="78"/>
  <c r="C80" i="78"/>
  <c r="C81" i="78"/>
  <c r="C82" i="78"/>
  <c r="C3" i="78"/>
  <c r="C4" i="78"/>
  <c r="C7" i="78"/>
  <c r="Y74" i="156" l="1"/>
  <c r="Z74" i="156" s="1"/>
  <c r="W74" i="156"/>
  <c r="V74" i="156"/>
  <c r="P4" i="70"/>
  <c r="T4" i="70" s="1"/>
  <c r="P5" i="70"/>
  <c r="T5" i="70" s="1"/>
  <c r="P3" i="70"/>
  <c r="T3" i="70" s="1"/>
  <c r="P2" i="70"/>
  <c r="T2" i="70" s="1"/>
  <c r="P17" i="70"/>
  <c r="T17" i="70" s="1"/>
  <c r="O5" i="70"/>
  <c r="O4" i="70"/>
  <c r="O3" i="70"/>
  <c r="O2" i="70"/>
  <c r="O17" i="70"/>
  <c r="N5" i="70"/>
  <c r="N4" i="70"/>
  <c r="N3" i="70"/>
  <c r="N2" i="70"/>
  <c r="N17" i="70"/>
  <c r="P16" i="70"/>
  <c r="T16" i="70" s="1"/>
  <c r="O16" i="70"/>
  <c r="N16" i="70"/>
  <c r="L32" i="95"/>
  <c r="L34" i="95" s="1"/>
  <c r="M32" i="95"/>
  <c r="M34" i="95" s="1"/>
  <c r="N32" i="95"/>
  <c r="N34" i="95" s="1"/>
  <c r="O32" i="95"/>
  <c r="O34" i="95" s="1"/>
  <c r="D32" i="95"/>
  <c r="D34" i="95" s="1"/>
  <c r="E32" i="95"/>
  <c r="E34" i="95" s="1"/>
  <c r="F32" i="95"/>
  <c r="F34" i="95" s="1"/>
  <c r="G32" i="95"/>
  <c r="G34" i="95" s="1"/>
  <c r="L22" i="95"/>
  <c r="M22" i="95"/>
  <c r="N22" i="95"/>
  <c r="O22" i="95"/>
  <c r="O21" i="95"/>
  <c r="N21" i="95"/>
  <c r="M21" i="95"/>
  <c r="L21" i="95"/>
  <c r="H22" i="95"/>
  <c r="I22" i="95"/>
  <c r="J22" i="95"/>
  <c r="K22" i="95"/>
  <c r="K21" i="95"/>
  <c r="J21" i="95"/>
  <c r="I21" i="95"/>
  <c r="H21" i="95"/>
  <c r="D22" i="95"/>
  <c r="E22" i="95"/>
  <c r="F22" i="95"/>
  <c r="G22" i="95"/>
  <c r="G21" i="95"/>
  <c r="F21" i="95"/>
  <c r="E21" i="95"/>
  <c r="D21" i="95"/>
  <c r="L5" i="95"/>
  <c r="M5" i="95"/>
  <c r="N5" i="95"/>
  <c r="O5" i="95"/>
  <c r="O4" i="95"/>
  <c r="N4" i="95"/>
  <c r="M4" i="95"/>
  <c r="L4" i="95"/>
  <c r="O13" i="95"/>
  <c r="O12" i="95"/>
  <c r="N13" i="95"/>
  <c r="N12" i="95"/>
  <c r="M13" i="95"/>
  <c r="M12" i="95"/>
  <c r="L13" i="95"/>
  <c r="L12" i="95"/>
  <c r="H5" i="95"/>
  <c r="I5" i="95"/>
  <c r="J5" i="95"/>
  <c r="K5" i="95"/>
  <c r="H6" i="95"/>
  <c r="I6" i="95"/>
  <c r="J6" i="95"/>
  <c r="K6" i="95"/>
  <c r="H7" i="95"/>
  <c r="I7" i="95"/>
  <c r="J7" i="95"/>
  <c r="K7" i="95"/>
  <c r="K4" i="95"/>
  <c r="J4" i="95"/>
  <c r="I4" i="95"/>
  <c r="Q4" i="95" s="1"/>
  <c r="H4" i="95"/>
  <c r="K16" i="95"/>
  <c r="K13" i="95"/>
  <c r="K15" i="95"/>
  <c r="K12" i="95"/>
  <c r="J13" i="95"/>
  <c r="J15" i="95"/>
  <c r="J16" i="95"/>
  <c r="J12" i="95"/>
  <c r="I13" i="95"/>
  <c r="I15" i="95"/>
  <c r="I16" i="95"/>
  <c r="H16" i="95"/>
  <c r="H13" i="95"/>
  <c r="H15" i="95"/>
  <c r="I12" i="95"/>
  <c r="H12" i="95"/>
  <c r="D5" i="95"/>
  <c r="E5" i="95"/>
  <c r="C11" i="3" s="1"/>
  <c r="F5" i="95"/>
  <c r="G5" i="95"/>
  <c r="D6" i="95"/>
  <c r="E6" i="95"/>
  <c r="F6" i="95"/>
  <c r="G6" i="95"/>
  <c r="D7" i="95"/>
  <c r="E7" i="95"/>
  <c r="F7" i="95"/>
  <c r="G7" i="95"/>
  <c r="G4" i="95"/>
  <c r="F4" i="95"/>
  <c r="D4" i="95"/>
  <c r="G13" i="95"/>
  <c r="F13" i="95"/>
  <c r="G12" i="95"/>
  <c r="F12" i="95"/>
  <c r="E13" i="95"/>
  <c r="E12" i="95"/>
  <c r="D12" i="95"/>
  <c r="D13" i="95"/>
  <c r="C13" i="3" l="1"/>
  <c r="C12" i="3"/>
  <c r="X74" i="156"/>
  <c r="AA74" i="156" s="1"/>
  <c r="R21" i="95"/>
  <c r="Q17" i="70"/>
  <c r="R17" i="70" s="1"/>
  <c r="S17" i="70" s="1"/>
  <c r="Q4" i="70"/>
  <c r="R4" i="70" s="1"/>
  <c r="S4" i="70" s="1"/>
  <c r="Q16" i="70"/>
  <c r="R16" i="70" s="1"/>
  <c r="S16" i="70" s="1"/>
  <c r="Q5" i="70"/>
  <c r="R5" i="70" s="1"/>
  <c r="S5" i="70" s="1"/>
  <c r="Q3" i="70"/>
  <c r="R3" i="70" s="1"/>
  <c r="S3" i="70" s="1"/>
  <c r="Q2" i="70"/>
  <c r="R2" i="70" s="1"/>
  <c r="S2" i="70" s="1"/>
  <c r="Q21" i="95"/>
  <c r="Q13" i="95"/>
  <c r="R15" i="95"/>
  <c r="Q22" i="95"/>
  <c r="P21" i="95"/>
  <c r="Q7" i="95"/>
  <c r="Q5" i="95"/>
  <c r="Q32" i="95"/>
  <c r="Q34" i="95" s="1"/>
  <c r="P4" i="95"/>
  <c r="S6" i="95"/>
  <c r="S32" i="95"/>
  <c r="S34" i="95" s="1"/>
  <c r="R6" i="95"/>
  <c r="R32" i="95"/>
  <c r="R34" i="95" s="1"/>
  <c r="P13" i="95"/>
  <c r="S4" i="95"/>
  <c r="P6" i="95"/>
  <c r="R16" i="95"/>
  <c r="P32" i="95"/>
  <c r="P34" i="95" s="1"/>
  <c r="R13" i="95"/>
  <c r="R4" i="95"/>
  <c r="Q6" i="95"/>
  <c r="S7" i="95"/>
  <c r="S5" i="95"/>
  <c r="S22" i="95"/>
  <c r="R7" i="95"/>
  <c r="R5" i="95"/>
  <c r="S21" i="95"/>
  <c r="P7" i="95"/>
  <c r="P5" i="95"/>
  <c r="Q15" i="95"/>
  <c r="S13" i="95"/>
  <c r="R22" i="95"/>
  <c r="P16" i="95"/>
  <c r="P22" i="95"/>
  <c r="S16" i="95"/>
  <c r="S15" i="95"/>
  <c r="R12" i="95"/>
  <c r="Q16" i="95"/>
  <c r="Q12" i="95"/>
  <c r="P15" i="95"/>
  <c r="S12" i="95"/>
  <c r="P12" i="95"/>
  <c r="C16" i="3" l="1"/>
  <c r="C31" i="3" s="1"/>
  <c r="C18" i="3"/>
  <c r="D31" i="3" s="1"/>
  <c r="C123" i="78"/>
  <c r="I28" i="3" l="1"/>
  <c r="W98" i="156"/>
  <c r="W110" i="156"/>
  <c r="D8" i="70"/>
  <c r="E8" i="70"/>
  <c r="D9" i="70"/>
  <c r="E9" i="70"/>
  <c r="D11" i="70"/>
  <c r="E11" i="70"/>
  <c r="D14" i="70"/>
  <c r="E14" i="70"/>
  <c r="B9" i="70"/>
  <c r="B11" i="70"/>
  <c r="B14" i="70"/>
  <c r="J8" i="70" l="1"/>
  <c r="K8" i="70" s="1"/>
  <c r="L8" i="70"/>
  <c r="M8" i="70" s="1"/>
  <c r="J9" i="70"/>
  <c r="K9" i="70" s="1"/>
  <c r="L9" i="70"/>
  <c r="M9" i="70" s="1"/>
  <c r="J11" i="70"/>
  <c r="L11" i="70"/>
  <c r="J14" i="70"/>
  <c r="L14" i="70"/>
  <c r="F11" i="70" l="1"/>
  <c r="M11" i="70" l="1"/>
  <c r="K11" i="70"/>
  <c r="C108" i="78" l="1"/>
  <c r="C133" i="78" l="1"/>
  <c r="W95" i="156"/>
  <c r="W116" i="156" l="1"/>
  <c r="W132" i="156" l="1"/>
  <c r="W121" i="156"/>
  <c r="C205" i="78" l="1"/>
  <c r="C15" i="95" l="1"/>
  <c r="C212" i="78" l="1"/>
  <c r="G14" i="70" l="1"/>
  <c r="F14" i="70"/>
  <c r="H14" i="70" l="1"/>
  <c r="I14" i="70"/>
  <c r="K14" i="70"/>
  <c r="M14" i="70"/>
  <c r="C22" i="95" l="1"/>
  <c r="C21" i="95"/>
  <c r="W30" i="156" l="1"/>
  <c r="W33" i="156" l="1"/>
  <c r="W127" i="156"/>
  <c r="W122" i="156"/>
  <c r="W129" i="156"/>
  <c r="W16" i="156"/>
  <c r="W50" i="156"/>
  <c r="W49" i="156"/>
  <c r="W131" i="156"/>
  <c r="W10" i="156"/>
  <c r="W7" i="156"/>
  <c r="W55" i="156"/>
  <c r="W14" i="156"/>
  <c r="W4" i="156"/>
  <c r="O11" i="70"/>
  <c r="O14" i="70"/>
  <c r="O9" i="70"/>
  <c r="O8" i="70"/>
  <c r="Y116" i="156" l="1"/>
  <c r="Z116" i="156" s="1"/>
  <c r="Y30" i="156"/>
  <c r="Z30" i="156" s="1"/>
  <c r="Y95" i="156" l="1"/>
  <c r="Z95" i="156" s="1"/>
  <c r="Y33" i="156"/>
  <c r="Z33" i="156" s="1"/>
  <c r="Y98" i="156"/>
  <c r="Z98" i="156" s="1"/>
  <c r="Y122" i="156"/>
  <c r="Z122" i="156" s="1"/>
  <c r="Y127" i="156"/>
  <c r="Z127" i="156" s="1"/>
  <c r="Y110" i="156"/>
  <c r="Z110" i="156" s="1"/>
  <c r="Y129" i="156"/>
  <c r="Z129" i="156" s="1"/>
  <c r="Y16" i="156"/>
  <c r="Z16" i="156" s="1"/>
  <c r="Y131" i="156"/>
  <c r="Z131" i="156" s="1"/>
  <c r="Y50" i="156"/>
  <c r="Z50" i="156" s="1"/>
  <c r="Y49" i="156"/>
  <c r="Z49" i="156" s="1"/>
  <c r="Y132" i="156"/>
  <c r="Z132" i="156" s="1"/>
  <c r="Y10" i="156"/>
  <c r="Z10" i="156" s="1"/>
  <c r="Y7" i="156"/>
  <c r="Z7" i="156" s="1"/>
  <c r="Y4" i="156"/>
  <c r="Z4" i="156" s="1"/>
  <c r="Y55" i="156"/>
  <c r="Z55" i="156" s="1"/>
  <c r="Y14" i="156"/>
  <c r="Z14" i="156" s="1"/>
  <c r="Y121" i="156"/>
  <c r="Z121" i="156" s="1"/>
  <c r="P14" i="70"/>
  <c r="T14" i="70" s="1"/>
  <c r="P11" i="70"/>
  <c r="T11" i="70" s="1"/>
  <c r="P8" i="70"/>
  <c r="T8" i="70" s="1"/>
  <c r="P9" i="70"/>
  <c r="T9" i="70" s="1"/>
  <c r="V116" i="156"/>
  <c r="X116" i="156" s="1"/>
  <c r="AA116" i="156" s="1"/>
  <c r="V95" i="156"/>
  <c r="X95" i="156" s="1"/>
  <c r="AA95" i="156" l="1"/>
  <c r="V30" i="156"/>
  <c r="X30" i="156" s="1"/>
  <c r="AA30" i="156" s="1"/>
  <c r="V98" i="156"/>
  <c r="X98" i="156" s="1"/>
  <c r="AA98" i="156" s="1"/>
  <c r="V33" i="156"/>
  <c r="X33" i="156" s="1"/>
  <c r="AA33" i="156" s="1"/>
  <c r="V122" i="156"/>
  <c r="X122" i="156" s="1"/>
  <c r="AA122" i="156" s="1"/>
  <c r="V127" i="156"/>
  <c r="X127" i="156" s="1"/>
  <c r="AA127" i="156" s="1"/>
  <c r="V110" i="156"/>
  <c r="X110" i="156" s="1"/>
  <c r="AA110" i="156" s="1"/>
  <c r="V16" i="156"/>
  <c r="X16" i="156" s="1"/>
  <c r="AA16" i="156" s="1"/>
  <c r="V129" i="156"/>
  <c r="X129" i="156" s="1"/>
  <c r="AA129" i="156" s="1"/>
  <c r="V131" i="156"/>
  <c r="X131" i="156" s="1"/>
  <c r="AA131" i="156" s="1"/>
  <c r="V50" i="156"/>
  <c r="X50" i="156" s="1"/>
  <c r="AA50" i="156" s="1"/>
  <c r="V49" i="156"/>
  <c r="X49" i="156" s="1"/>
  <c r="AA49" i="156" s="1"/>
  <c r="V10" i="156"/>
  <c r="X10" i="156" s="1"/>
  <c r="AA10" i="156" s="1"/>
  <c r="V132" i="156"/>
  <c r="X132" i="156" s="1"/>
  <c r="AA132" i="156" s="1"/>
  <c r="V7" i="156"/>
  <c r="X7" i="156" s="1"/>
  <c r="AA7" i="156" s="1"/>
  <c r="V14" i="156"/>
  <c r="X14" i="156" s="1"/>
  <c r="AA14" i="156" s="1"/>
  <c r="V4" i="156"/>
  <c r="X4" i="156" s="1"/>
  <c r="AA4" i="156" s="1"/>
  <c r="V55" i="156"/>
  <c r="X55" i="156" s="1"/>
  <c r="AA55" i="156" s="1"/>
  <c r="V121" i="156"/>
  <c r="X121" i="156" s="1"/>
  <c r="AA121" i="156" s="1"/>
  <c r="N14" i="70"/>
  <c r="Q14" i="70" s="1"/>
  <c r="R14" i="70" s="1"/>
  <c r="S14" i="70" s="1"/>
  <c r="N11" i="70"/>
  <c r="Q11" i="70" s="1"/>
  <c r="R11" i="70" s="1"/>
  <c r="S11" i="70" s="1"/>
  <c r="N9" i="70"/>
  <c r="Q9" i="70" s="1"/>
  <c r="R9" i="70" s="1"/>
  <c r="S9" i="70" s="1"/>
  <c r="N8" i="70"/>
  <c r="Q8" i="70" s="1"/>
  <c r="R8" i="70" l="1"/>
  <c r="S8" i="70" s="1"/>
  <c r="C19" i="3" l="1"/>
  <c r="G11" i="70" l="1"/>
  <c r="H11" i="70" l="1"/>
  <c r="I11" i="70"/>
  <c r="C344" i="78" l="1"/>
  <c r="C359" i="78"/>
  <c r="C303" i="78"/>
  <c r="C300" i="78"/>
  <c r="C299" i="78"/>
  <c r="C298" i="78"/>
  <c r="C296" i="78"/>
  <c r="C399" i="78"/>
  <c r="C398" i="78"/>
  <c r="C397" i="78"/>
  <c r="C396" i="78"/>
  <c r="C395" i="78"/>
  <c r="C394" i="78"/>
  <c r="C393" i="78"/>
  <c r="C392" i="78"/>
  <c r="C391" i="78"/>
  <c r="C390" i="78"/>
  <c r="C389" i="78"/>
  <c r="C388" i="78"/>
  <c r="C387" i="78"/>
  <c r="C386" i="78"/>
  <c r="C385" i="78"/>
  <c r="C384" i="78"/>
  <c r="C383" i="78"/>
  <c r="C382" i="78"/>
  <c r="C381" i="78"/>
  <c r="C380" i="78"/>
  <c r="C379" i="78"/>
  <c r="C378" i="78"/>
  <c r="C377" i="78"/>
  <c r="C376" i="78"/>
  <c r="C190" i="78"/>
  <c r="C99" i="78"/>
  <c r="C98" i="78"/>
  <c r="C304" i="78"/>
  <c r="C276" i="78"/>
  <c r="C275" i="78"/>
  <c r="C266" i="78"/>
  <c r="C265" i="78"/>
  <c r="C263" i="78"/>
  <c r="C242" i="78"/>
  <c r="C236" i="78"/>
  <c r="C114" i="78"/>
  <c r="C120" i="78"/>
  <c r="C375" i="78"/>
  <c r="C374" i="78"/>
  <c r="C373" i="78"/>
  <c r="C372" i="78"/>
  <c r="C366" i="78"/>
  <c r="C363" i="78"/>
  <c r="C355" i="78"/>
  <c r="C119" i="78"/>
  <c r="C346" i="78"/>
  <c r="C154" i="78"/>
  <c r="C191" i="78"/>
  <c r="C305" i="78"/>
  <c r="C354" i="78"/>
  <c r="C353" i="78"/>
  <c r="C352" i="78"/>
  <c r="C351" i="78"/>
  <c r="C350" i="78"/>
  <c r="C349" i="78"/>
  <c r="C348" i="78"/>
  <c r="C347" i="78"/>
  <c r="C345" i="78"/>
  <c r="C343" i="78"/>
  <c r="C342" i="78"/>
  <c r="C341" i="78"/>
  <c r="C340" i="78"/>
  <c r="C339" i="78"/>
  <c r="C255" i="78"/>
  <c r="C254" i="78"/>
  <c r="C253" i="78"/>
  <c r="C252" i="78"/>
  <c r="C251" i="78"/>
  <c r="C250" i="78"/>
  <c r="C249" i="78"/>
  <c r="C248" i="78"/>
  <c r="C247" i="78"/>
  <c r="C246" i="78"/>
  <c r="C245" i="78"/>
  <c r="C244" i="78"/>
  <c r="C243" i="78"/>
  <c r="C294" i="78"/>
  <c r="C313" i="78"/>
  <c r="C312" i="78"/>
  <c r="C311" i="78"/>
  <c r="C310" i="78"/>
  <c r="C297" i="78"/>
  <c r="C314" i="78"/>
  <c r="C315" i="78"/>
  <c r="C166" i="78"/>
  <c r="C368" i="78"/>
  <c r="C95" i="78"/>
  <c r="C337" i="78"/>
  <c r="C336" i="78"/>
  <c r="C335" i="78"/>
  <c r="C318" i="78"/>
  <c r="C317" i="78"/>
  <c r="C273" i="78"/>
  <c r="C278" i="78"/>
  <c r="C167" i="78"/>
  <c r="C292" i="78"/>
  <c r="C291" i="78"/>
  <c r="C264" i="78"/>
  <c r="C262" i="78"/>
  <c r="C261" i="78"/>
  <c r="C260" i="78"/>
  <c r="C259" i="78"/>
  <c r="C258" i="78"/>
  <c r="C257" i="78"/>
  <c r="C256" i="78"/>
  <c r="C209" i="78"/>
  <c r="C193" i="78"/>
  <c r="C153" i="78"/>
  <c r="C152" i="78"/>
  <c r="C227" i="78"/>
  <c r="C226" i="78"/>
  <c r="C225" i="78"/>
  <c r="C224" i="78"/>
  <c r="C223" i="78"/>
  <c r="C222" i="78"/>
  <c r="C221" i="78"/>
  <c r="C220" i="78"/>
  <c r="C112" i="78"/>
  <c r="C219" i="78"/>
  <c r="C231" i="78"/>
  <c r="C367" i="78"/>
  <c r="C365" i="78"/>
  <c r="C362" i="78"/>
  <c r="C271" i="78"/>
  <c r="C270" i="78"/>
  <c r="C269" i="78"/>
  <c r="C268" i="78"/>
  <c r="C267" i="78"/>
  <c r="C325" i="78"/>
  <c r="C323" i="78"/>
  <c r="C277" i="78"/>
  <c r="C274" i="78"/>
  <c r="C272" i="78"/>
  <c r="C235" i="78"/>
  <c r="C234" i="78"/>
  <c r="C371" i="78"/>
  <c r="C369" i="78"/>
  <c r="C364" i="78"/>
  <c r="C338" i="78"/>
  <c r="C207" i="78"/>
  <c r="C290" i="78"/>
  <c r="C289" i="78"/>
  <c r="C288" i="78"/>
  <c r="C287" i="78"/>
  <c r="C286" i="78"/>
  <c r="C285" i="78"/>
  <c r="C241" i="78"/>
  <c r="C240" i="78"/>
  <c r="C239" i="78"/>
  <c r="C238" i="78"/>
  <c r="C237" i="78"/>
  <c r="C233" i="78"/>
  <c r="C232" i="78"/>
  <c r="C206" i="78"/>
  <c r="C136" i="78"/>
  <c r="C302" i="78"/>
  <c r="C301" i="78"/>
  <c r="C295" i="78"/>
  <c r="C293" i="78"/>
  <c r="C284" i="78"/>
  <c r="C283" i="78"/>
  <c r="C282" i="78"/>
  <c r="C281" i="78"/>
  <c r="C280" i="78"/>
  <c r="C279" i="78"/>
  <c r="C230" i="78"/>
  <c r="C229" i="78"/>
  <c r="C228" i="78"/>
  <c r="C192" i="78"/>
  <c r="C165" i="78"/>
  <c r="C331" i="78"/>
  <c r="C330" i="78"/>
  <c r="C329" i="78"/>
  <c r="C328" i="78"/>
  <c r="C327" i="78"/>
  <c r="C326" i="78"/>
  <c r="C324" i="78"/>
  <c r="C322" i="78"/>
  <c r="C321" i="78"/>
  <c r="C320" i="78"/>
  <c r="C319" i="78"/>
  <c r="C361" i="78"/>
  <c r="C360" i="78"/>
  <c r="C358" i="78"/>
  <c r="C357" i="78"/>
  <c r="C356" i="78"/>
  <c r="C316" i="78"/>
  <c r="C309" i="78"/>
  <c r="C194" i="78"/>
  <c r="C210" i="78"/>
  <c r="C94" i="78"/>
  <c r="C211" i="78"/>
  <c r="C370" i="78"/>
  <c r="C334" i="78"/>
  <c r="C333" i="78"/>
  <c r="C332" i="78"/>
  <c r="C164" i="78"/>
  <c r="C163" i="78"/>
  <c r="C308" i="78"/>
  <c r="C307" i="78"/>
  <c r="C306" i="78"/>
  <c r="E31" i="3" l="1"/>
  <c r="H27" i="3" l="1"/>
  <c r="C5" i="95"/>
  <c r="C6" i="95"/>
  <c r="C7" i="95"/>
  <c r="K24" i="95" l="1"/>
  <c r="J24" i="95"/>
  <c r="I24" i="95"/>
  <c r="H24" i="95"/>
  <c r="C32" i="95"/>
  <c r="C13" i="95"/>
  <c r="C16" i="95"/>
  <c r="C12" i="95"/>
  <c r="C4" i="95"/>
  <c r="G8" i="70"/>
  <c r="G9" i="70"/>
  <c r="H9" i="70" l="1"/>
  <c r="I9" i="70"/>
  <c r="H8" i="70"/>
  <c r="I8" i="70"/>
  <c r="B9" i="3" l="1"/>
  <c r="D11" i="3" s="1"/>
  <c r="E24" i="95"/>
  <c r="F18" i="95"/>
  <c r="F24" i="95"/>
  <c r="G24" i="95"/>
  <c r="L24" i="95"/>
  <c r="M24" i="95"/>
  <c r="N24" i="95"/>
  <c r="O24" i="95"/>
  <c r="D18" i="95"/>
  <c r="D24" i="95"/>
  <c r="E13" i="3" l="1"/>
  <c r="E12" i="3"/>
  <c r="E11" i="3"/>
  <c r="D13" i="3"/>
  <c r="D12" i="3"/>
  <c r="G18" i="95"/>
  <c r="Q24" i="95"/>
  <c r="J9" i="95"/>
  <c r="K9" i="95"/>
  <c r="O18" i="95"/>
  <c r="K18" i="95"/>
  <c r="L18" i="95"/>
  <c r="L9" i="95"/>
  <c r="I9" i="95"/>
  <c r="G9" i="95"/>
  <c r="O9" i="95"/>
  <c r="R24" i="95"/>
  <c r="S24" i="95"/>
  <c r="J18" i="95"/>
  <c r="P24" i="95"/>
  <c r="I18" i="95"/>
  <c r="N18" i="95"/>
  <c r="H9" i="95"/>
  <c r="M18" i="95"/>
  <c r="N9" i="95"/>
  <c r="M9" i="95"/>
  <c r="H18" i="95"/>
  <c r="E18" i="95"/>
  <c r="F9" i="95"/>
  <c r="F36" i="95" s="1"/>
  <c r="E9" i="95"/>
  <c r="D9" i="95"/>
  <c r="G36" i="95" l="1"/>
  <c r="R18" i="95"/>
  <c r="P18" i="95"/>
  <c r="Q18" i="95"/>
  <c r="H36" i="95"/>
  <c r="S18" i="95"/>
  <c r="O36" i="95"/>
  <c r="L36" i="95"/>
  <c r="N36" i="95"/>
  <c r="K36" i="95"/>
  <c r="Q9" i="95"/>
  <c r="P9" i="95"/>
  <c r="I36" i="95"/>
  <c r="M36" i="95"/>
  <c r="R9" i="95"/>
  <c r="J36" i="95"/>
  <c r="S9" i="95"/>
  <c r="D16" i="3"/>
  <c r="E36" i="95"/>
  <c r="D36" i="95"/>
  <c r="E16" i="3"/>
  <c r="R36" i="95" l="1"/>
  <c r="P36" i="95"/>
  <c r="S36" i="95"/>
  <c r="Q36" i="95"/>
  <c r="C21" i="3" l="1"/>
</calcChain>
</file>

<file path=xl/comments1.xml><?xml version="1.0" encoding="utf-8"?>
<comments xmlns="http://schemas.openxmlformats.org/spreadsheetml/2006/main">
  <authors>
    <author>Ulla Sehlberg</author>
  </authors>
  <commentList>
    <comment ref="C6" authorId="0" shapeId="0">
      <text>
        <r>
          <rPr>
            <b/>
            <sz val="10"/>
            <color indexed="81"/>
            <rFont val="Tahoma"/>
            <family val="2"/>
          </rPr>
          <t>Välj från lista</t>
        </r>
      </text>
    </comment>
  </commentList>
</comments>
</file>

<file path=xl/comments2.xml><?xml version="1.0" encoding="utf-8"?>
<comments xmlns="http://schemas.openxmlformats.org/spreadsheetml/2006/main">
  <authors>
    <author>Agnetha Simm</author>
  </authors>
  <commentList>
    <comment ref="A86" authorId="0" shapeId="0">
      <text>
        <r>
          <rPr>
            <b/>
            <sz val="9"/>
            <color indexed="81"/>
            <rFont val="Tahoma"/>
            <family val="2"/>
          </rPr>
          <t>Agnetha Simm:</t>
        </r>
        <r>
          <rPr>
            <sz val="9"/>
            <color indexed="81"/>
            <rFont val="Tahoma"/>
            <family val="2"/>
          </rPr>
          <t xml:space="preserve">
Ers 6DI005</t>
        </r>
      </text>
    </comment>
    <comment ref="A112" authorId="0" shapeId="0">
      <text>
        <r>
          <rPr>
            <b/>
            <sz val="9"/>
            <color indexed="81"/>
            <rFont val="Tahoma"/>
            <family val="2"/>
          </rPr>
          <t>Agnetha Simm:</t>
        </r>
        <r>
          <rPr>
            <sz val="9"/>
            <color indexed="81"/>
            <rFont val="Tahoma"/>
            <family val="2"/>
          </rPr>
          <t xml:space="preserve">
Ers 6ID301</t>
        </r>
      </text>
    </comment>
  </commentList>
</comments>
</file>

<file path=xl/comments3.xml><?xml version="1.0" encoding="utf-8"?>
<comments xmlns="http://schemas.openxmlformats.org/spreadsheetml/2006/main">
  <authors>
    <author>Agnetha Simm</author>
  </authors>
  <commentList>
    <comment ref="A78" authorId="0" shapeId="0">
      <text>
        <r>
          <rPr>
            <b/>
            <sz val="9"/>
            <color indexed="81"/>
            <rFont val="Tahoma"/>
            <family val="2"/>
          </rPr>
          <t>Agnetha Simm:</t>
        </r>
        <r>
          <rPr>
            <sz val="9"/>
            <color indexed="81"/>
            <rFont val="Tahoma"/>
            <family val="2"/>
          </rPr>
          <t xml:space="preserve">
Ersätter 6DI008</t>
        </r>
      </text>
    </comment>
    <comment ref="A86" authorId="0" shapeId="0">
      <text>
        <r>
          <rPr>
            <b/>
            <sz val="9"/>
            <color indexed="81"/>
            <rFont val="Tahoma"/>
            <family val="2"/>
          </rPr>
          <t>Agnetha Simm:</t>
        </r>
        <r>
          <rPr>
            <sz val="9"/>
            <color indexed="81"/>
            <rFont val="Tahoma"/>
            <family val="2"/>
          </rPr>
          <t xml:space="preserve">
Ers 6DI005</t>
        </r>
      </text>
    </comment>
    <comment ref="A107" authorId="0" shapeId="0">
      <text>
        <r>
          <rPr>
            <b/>
            <sz val="9"/>
            <color indexed="81"/>
            <rFont val="Tahoma"/>
            <family val="2"/>
          </rPr>
          <t>Agnetha Simm:</t>
        </r>
        <r>
          <rPr>
            <sz val="9"/>
            <color indexed="81"/>
            <rFont val="Tahoma"/>
            <family val="2"/>
          </rPr>
          <t xml:space="preserve">
Ersätter 6DI010</t>
        </r>
      </text>
    </comment>
    <comment ref="A108" authorId="0" shapeId="0">
      <text>
        <r>
          <rPr>
            <b/>
            <sz val="9"/>
            <color indexed="81"/>
            <rFont val="Tahoma"/>
            <family val="2"/>
          </rPr>
          <t>Agnetha Simm:</t>
        </r>
        <r>
          <rPr>
            <sz val="9"/>
            <color indexed="81"/>
            <rFont val="Tahoma"/>
            <family val="2"/>
          </rPr>
          <t xml:space="preserve">
Ersätter 6DI011</t>
        </r>
      </text>
    </comment>
    <comment ref="A112" authorId="0" shapeId="0">
      <text>
        <r>
          <rPr>
            <b/>
            <sz val="9"/>
            <color indexed="81"/>
            <rFont val="Tahoma"/>
            <family val="2"/>
          </rPr>
          <t>Agnetha Simm:</t>
        </r>
        <r>
          <rPr>
            <sz val="9"/>
            <color indexed="81"/>
            <rFont val="Tahoma"/>
            <family val="2"/>
          </rPr>
          <t xml:space="preserve">
Ers 6ID301</t>
        </r>
      </text>
    </comment>
  </commentList>
</comments>
</file>

<file path=xl/comments4.xml><?xml version="1.0" encoding="utf-8"?>
<comments xmlns="http://schemas.openxmlformats.org/spreadsheetml/2006/main">
  <authors>
    <author>Agnetha Simm</author>
  </authors>
  <commentList>
    <comment ref="A6" authorId="0" shapeId="0">
      <text>
        <r>
          <rPr>
            <b/>
            <sz val="9"/>
            <color indexed="81"/>
            <rFont val="Tahoma"/>
            <family val="2"/>
          </rPr>
          <t>Agnetha Simm:</t>
        </r>
        <r>
          <rPr>
            <sz val="9"/>
            <color indexed="81"/>
            <rFont val="Tahoma"/>
            <family val="2"/>
          </rPr>
          <t xml:space="preserve">
Ers 6DI005</t>
        </r>
      </text>
    </comment>
    <comment ref="A7" authorId="0" shapeId="0">
      <text>
        <r>
          <rPr>
            <b/>
            <sz val="9"/>
            <color indexed="81"/>
            <rFont val="Tahoma"/>
            <family val="2"/>
          </rPr>
          <t>Agnetha Simm:</t>
        </r>
        <r>
          <rPr>
            <sz val="9"/>
            <color indexed="81"/>
            <rFont val="Tahoma"/>
            <family val="2"/>
          </rPr>
          <t xml:space="preserve">
Ers 6DI005</t>
        </r>
      </text>
    </comment>
    <comment ref="A8" authorId="0" shapeId="0">
      <text>
        <r>
          <rPr>
            <b/>
            <sz val="9"/>
            <color indexed="81"/>
            <rFont val="Tahoma"/>
            <family val="2"/>
          </rPr>
          <t>Agnetha Simm:</t>
        </r>
        <r>
          <rPr>
            <sz val="9"/>
            <color indexed="81"/>
            <rFont val="Tahoma"/>
            <family val="2"/>
          </rPr>
          <t xml:space="preserve">
Ers 6ID301</t>
        </r>
      </text>
    </comment>
    <comment ref="A9" authorId="0" shapeId="0">
      <text>
        <r>
          <rPr>
            <b/>
            <sz val="9"/>
            <color indexed="81"/>
            <rFont val="Tahoma"/>
            <family val="2"/>
          </rPr>
          <t>Agnetha Simm:</t>
        </r>
        <r>
          <rPr>
            <sz val="9"/>
            <color indexed="81"/>
            <rFont val="Tahoma"/>
            <family val="2"/>
          </rPr>
          <t xml:space="preserve">
Ers 6ID301</t>
        </r>
      </text>
    </comment>
  </commentList>
</comments>
</file>

<file path=xl/sharedStrings.xml><?xml version="1.0" encoding="utf-8"?>
<sst xmlns="http://schemas.openxmlformats.org/spreadsheetml/2006/main" count="2920" uniqueCount="956">
  <si>
    <t>Kursansvar namn</t>
  </si>
  <si>
    <t>Total HST</t>
  </si>
  <si>
    <t>Data</t>
  </si>
  <si>
    <t>Total HPR</t>
  </si>
  <si>
    <t>Prislapp HST</t>
  </si>
  <si>
    <t>Prislapp HPR</t>
  </si>
  <si>
    <t>Avdrag</t>
  </si>
  <si>
    <t>Intäkter för medverkande institutioner (tkr)</t>
  </si>
  <si>
    <t>% org 1</t>
  </si>
  <si>
    <t xml:space="preserve">Estetiska ämnen               </t>
  </si>
  <si>
    <t xml:space="preserve">Gemensamt för universitetet   </t>
  </si>
  <si>
    <t xml:space="preserve">Gemensamma funktioner m m </t>
  </si>
  <si>
    <t>ÖS-medel</t>
  </si>
  <si>
    <t xml:space="preserve">Fondförvaltning               </t>
  </si>
  <si>
    <t xml:space="preserve">Internbank                    </t>
  </si>
  <si>
    <t>Ladokkonsortiet</t>
  </si>
  <si>
    <t>Regionala etikprövningsnämnden</t>
  </si>
  <si>
    <t xml:space="preserve">Universitetsledningen         </t>
  </si>
  <si>
    <t xml:space="preserve">Universitetsledningens kansli </t>
  </si>
  <si>
    <t xml:space="preserve">Universitetsbiblioteket       </t>
  </si>
  <si>
    <t xml:space="preserve">Umdac                         </t>
  </si>
  <si>
    <t xml:space="preserve">Umdac/RDS                     </t>
  </si>
  <si>
    <t xml:space="preserve">HPC2N                         </t>
  </si>
  <si>
    <t xml:space="preserve">Förvaltningen gemensamt       </t>
  </si>
  <si>
    <t xml:space="preserve">Ekonomiadministrativa enheten </t>
  </si>
  <si>
    <t xml:space="preserve">Informationsenheten                  </t>
  </si>
  <si>
    <t xml:space="preserve">Internrevision                </t>
  </si>
  <si>
    <t xml:space="preserve">IT-enheten                </t>
  </si>
  <si>
    <t>Ladok enheten</t>
  </si>
  <si>
    <t xml:space="preserve">Lokalförsörjningen            </t>
  </si>
  <si>
    <t xml:space="preserve">Lokalförsörjningsenheten/Tele </t>
  </si>
  <si>
    <t xml:space="preserve">Studentcentrum                </t>
  </si>
  <si>
    <t xml:space="preserve">Ledning, universitetsservice       </t>
  </si>
  <si>
    <t>Institution</t>
  </si>
  <si>
    <t>Totalt HUM</t>
  </si>
  <si>
    <t>Totalt SAM</t>
  </si>
  <si>
    <t>Totalt MED</t>
  </si>
  <si>
    <t>Totalt TEKN</t>
  </si>
  <si>
    <t xml:space="preserve">Friskvård                     </t>
  </si>
  <si>
    <t xml:space="preserve">Lokaluthyrning </t>
  </si>
  <si>
    <t xml:space="preserve">Husservice                    </t>
  </si>
  <si>
    <t xml:space="preserve">Kontorsbutiken                </t>
  </si>
  <si>
    <t xml:space="preserve">Kronlund                      </t>
  </si>
  <si>
    <t xml:space="preserve">Lokalvård                     </t>
  </si>
  <si>
    <t>Post och transportservice</t>
  </si>
  <si>
    <t>Print &amp; Media</t>
  </si>
  <si>
    <t xml:space="preserve">Skrivningsbevakningen         </t>
  </si>
  <si>
    <t xml:space="preserve">Unimeg                        </t>
  </si>
  <si>
    <t>Gemensamma avsättningar</t>
  </si>
  <si>
    <t>Forum för tvärvetenskap</t>
  </si>
  <si>
    <t xml:space="preserve">Miljöhögskolan                </t>
  </si>
  <si>
    <t xml:space="preserve">Centrum för miljövetenskaplig </t>
  </si>
  <si>
    <t>Centrum för molekylär patogene</t>
  </si>
  <si>
    <t xml:space="preserve">Biomedicinsk forskarskola     </t>
  </si>
  <si>
    <t xml:space="preserve">Centrala ombokningar          </t>
  </si>
  <si>
    <t xml:space="preserve">Centrala betalningar          </t>
  </si>
  <si>
    <t>Orgenhet nr</t>
  </si>
  <si>
    <t>Kurskod NyA</t>
  </si>
  <si>
    <t>Kursansvar</t>
  </si>
  <si>
    <t>HST</t>
  </si>
  <si>
    <t>HPR</t>
  </si>
  <si>
    <t>6ÖÄ003</t>
  </si>
  <si>
    <t>Kurspris HST</t>
  </si>
  <si>
    <t>Kurspris HPR</t>
  </si>
  <si>
    <t>Fakultet</t>
  </si>
  <si>
    <t>Hum</t>
  </si>
  <si>
    <t>Sam</t>
  </si>
  <si>
    <t>Med</t>
  </si>
  <si>
    <t>TekNat</t>
  </si>
  <si>
    <t>Total ersättning</t>
  </si>
  <si>
    <t>Fak medv</t>
  </si>
  <si>
    <t>Fak kursansvar</t>
  </si>
  <si>
    <t>6TX011</t>
  </si>
  <si>
    <t>6SL008</t>
  </si>
  <si>
    <t>LYLÄP</t>
  </si>
  <si>
    <t>LYSYV</t>
  </si>
  <si>
    <t>6TX003</t>
  </si>
  <si>
    <t>6TX000</t>
  </si>
  <si>
    <t>Prkod</t>
  </si>
  <si>
    <t>HtVt</t>
  </si>
  <si>
    <t>Ort</t>
  </si>
  <si>
    <t>Form</t>
  </si>
  <si>
    <t>Studie takt</t>
  </si>
  <si>
    <t>Benämn</t>
  </si>
  <si>
    <t>Poäng</t>
  </si>
  <si>
    <t>Ant</t>
  </si>
  <si>
    <t>HPR %</t>
  </si>
  <si>
    <t>LLÄRY</t>
  </si>
  <si>
    <t>LYSPL</t>
  </si>
  <si>
    <t>LYLÄR</t>
  </si>
  <si>
    <t>FRIST</t>
  </si>
  <si>
    <t>LSYOY distans</t>
  </si>
  <si>
    <t>LSYOY</t>
  </si>
  <si>
    <t>LYSPE</t>
  </si>
  <si>
    <t>LSPPY</t>
  </si>
  <si>
    <t>Kreativt skapande - från idé till produkt</t>
  </si>
  <si>
    <t>Fristående och övriga kurser</t>
  </si>
  <si>
    <t>TE</t>
  </si>
  <si>
    <t>DE</t>
  </si>
  <si>
    <t>HU</t>
  </si>
  <si>
    <t>ID</t>
  </si>
  <si>
    <t>LU</t>
  </si>
  <si>
    <t>MU</t>
  </si>
  <si>
    <t>NA</t>
  </si>
  <si>
    <t>SA</t>
  </si>
  <si>
    <t>ÖV</t>
  </si>
  <si>
    <t>Lokalintäkt</t>
  </si>
  <si>
    <t>6SL007</t>
  </si>
  <si>
    <t>Orgenh</t>
  </si>
  <si>
    <t>Totalt</t>
  </si>
  <si>
    <t>Namn</t>
  </si>
  <si>
    <t>År</t>
  </si>
  <si>
    <t>Enhet</t>
  </si>
  <si>
    <t>Benämning</t>
  </si>
  <si>
    <t>TOTALT</t>
  </si>
  <si>
    <t>Centrum för utvärderingsforskning</t>
  </si>
  <si>
    <t>Umeå centrum för idrottsvetenskap</t>
  </si>
  <si>
    <t>Centrum för befolkningsstudier</t>
  </si>
  <si>
    <t>Receptarieutbildning</t>
  </si>
  <si>
    <t>EMG</t>
  </si>
  <si>
    <t xml:space="preserve">Kemiska institutionen         </t>
  </si>
  <si>
    <t>Inst för MA och MA statistik</t>
  </si>
  <si>
    <t>Enheten för näringsliv o samhälle ENS</t>
  </si>
  <si>
    <t>Akademiker i företag</t>
  </si>
  <si>
    <t>Administration service</t>
  </si>
  <si>
    <t>Profil- &amp; Copyshop</t>
  </si>
  <si>
    <t>Upphandling</t>
  </si>
  <si>
    <t>Inst för ide- o samhällsstudier</t>
  </si>
  <si>
    <t>Inst för kultur- o medievetenskap</t>
  </si>
  <si>
    <t>Umeå centrum för genusstudier (UCGS)</t>
  </si>
  <si>
    <t xml:space="preserve">MIMS </t>
  </si>
  <si>
    <t>Inst för språkstudier</t>
  </si>
  <si>
    <t xml:space="preserve">Bildmuseet                    </t>
  </si>
  <si>
    <t>FDN</t>
  </si>
  <si>
    <t>GDL</t>
  </si>
  <si>
    <t>UTCF</t>
  </si>
  <si>
    <t>BIS</t>
  </si>
  <si>
    <t>Personal- och organisationsutv enheten</t>
  </si>
  <si>
    <t>Planeringsenheten</t>
  </si>
  <si>
    <t xml:space="preserve">Hum fak kansli                </t>
  </si>
  <si>
    <t xml:space="preserve">Hum fak gemensamt             </t>
  </si>
  <si>
    <t xml:space="preserve">Hum lab                       </t>
  </si>
  <si>
    <t xml:space="preserve">Centrum för samisk forskning  </t>
  </si>
  <si>
    <t xml:space="preserve">Konsthögskolan                </t>
  </si>
  <si>
    <t>Gemensamt för samhällsvetenskap</t>
  </si>
  <si>
    <t>Kansliet för samhällsvetenskap</t>
  </si>
  <si>
    <t xml:space="preserve">Enh för Polisutb. vid UmU     </t>
  </si>
  <si>
    <t xml:space="preserve">Pedagogik                     </t>
  </si>
  <si>
    <t>Inst för beteendevetenskapliga mätningar</t>
  </si>
  <si>
    <t xml:space="preserve">Inst för psykologi            </t>
  </si>
  <si>
    <t xml:space="preserve">Sociologi                     </t>
  </si>
  <si>
    <t xml:space="preserve">Nationalekonomi               </t>
  </si>
  <si>
    <t xml:space="preserve">Juridiska institutionen       </t>
  </si>
  <si>
    <t xml:space="preserve">Statsvetenskap                </t>
  </si>
  <si>
    <t xml:space="preserve">Ekonomisk historia            </t>
  </si>
  <si>
    <t xml:space="preserve">Statistik                     </t>
  </si>
  <si>
    <t xml:space="preserve">Socialt arbete                </t>
  </si>
  <si>
    <t xml:space="preserve">Centrum f handikappvetenskap  </t>
  </si>
  <si>
    <t>Transportforskningsenheten</t>
  </si>
  <si>
    <t xml:space="preserve">Informatik                    </t>
  </si>
  <si>
    <t xml:space="preserve">Kostvetenskap                 </t>
  </si>
  <si>
    <t xml:space="preserve">CERUM                         </t>
  </si>
  <si>
    <t xml:space="preserve">Enheten f restauranghögskolan </t>
  </si>
  <si>
    <t xml:space="preserve">Datorlab HASTA                </t>
  </si>
  <si>
    <t>BVH-labben</t>
  </si>
  <si>
    <t xml:space="preserve">DDB Umeå                          </t>
  </si>
  <si>
    <t xml:space="preserve">DDB Haparanda                     </t>
  </si>
  <si>
    <t xml:space="preserve">DDB Jörn                          </t>
  </si>
  <si>
    <t xml:space="preserve">DDB Karesuando                    </t>
  </si>
  <si>
    <t>ALC</t>
  </si>
  <si>
    <t>Medicinska fakulteten</t>
  </si>
  <si>
    <t xml:space="preserve">Kansliet för med fak          </t>
  </si>
  <si>
    <t xml:space="preserve">Vårdutbildningar              </t>
  </si>
  <si>
    <t>Grundutbildningsrådet</t>
  </si>
  <si>
    <t>Vetenskaplig baskurs</t>
  </si>
  <si>
    <t>UGL/Grupprocesser</t>
  </si>
  <si>
    <t xml:space="preserve">Klinisk vetenskap             </t>
  </si>
  <si>
    <t xml:space="preserve">Psykiatri                     </t>
  </si>
  <si>
    <t xml:space="preserve">Barn- och ungdomspsykiatri    </t>
  </si>
  <si>
    <t xml:space="preserve">Psykoterapi                   </t>
  </si>
  <si>
    <t xml:space="preserve">Obstetrik och gynekologi      </t>
  </si>
  <si>
    <t xml:space="preserve">Oftalmiatrik                  </t>
  </si>
  <si>
    <t xml:space="preserve">Öron- näs- och halssjukdomar  </t>
  </si>
  <si>
    <t xml:space="preserve">Logopedi                      </t>
  </si>
  <si>
    <t xml:space="preserve">Pediatrik                     </t>
  </si>
  <si>
    <t xml:space="preserve">Strålningsvetenskaper         </t>
  </si>
  <si>
    <t xml:space="preserve">Diagnostisk radiologi         </t>
  </si>
  <si>
    <t xml:space="preserve">Onkologi                      </t>
  </si>
  <si>
    <t xml:space="preserve">Radiofysik                    </t>
  </si>
  <si>
    <t>Radiobiologi</t>
  </si>
  <si>
    <t>Molekylärbiologi</t>
  </si>
  <si>
    <t xml:space="preserve">Kirurgisk o perioperativ vetenskap </t>
  </si>
  <si>
    <t xml:space="preserve">Kirurgi                       </t>
  </si>
  <si>
    <t xml:space="preserve">Anestesiologi o intensivvård  </t>
  </si>
  <si>
    <t xml:space="preserve">Klinisk fysiologi             </t>
  </si>
  <si>
    <t xml:space="preserve">Ortopedi                      </t>
  </si>
  <si>
    <t xml:space="preserve">Handkirurgi                   </t>
  </si>
  <si>
    <t xml:space="preserve">Idrottsmedicin                </t>
  </si>
  <si>
    <t xml:space="preserve">Urologi och andrologi         </t>
  </si>
  <si>
    <t xml:space="preserve">Samhällsmedicin och rehab     </t>
  </si>
  <si>
    <t xml:space="preserve">Rehabiliteringsmedicin        </t>
  </si>
  <si>
    <t xml:space="preserve">Arbetsterapi                  </t>
  </si>
  <si>
    <t xml:space="preserve">Sjukgymnastik                 </t>
  </si>
  <si>
    <t xml:space="preserve">Geriatrik                     </t>
  </si>
  <si>
    <t xml:space="preserve">Rättsmedicin                  </t>
  </si>
  <si>
    <t>Farmakologi/klin neurovet.skap</t>
  </si>
  <si>
    <t xml:space="preserve">Farmakologi                   </t>
  </si>
  <si>
    <t xml:space="preserve">Klinisk farmakologi           </t>
  </si>
  <si>
    <t>Klinisk neurovetenskap</t>
  </si>
  <si>
    <t xml:space="preserve">Inst f medicinsk biovetenskap </t>
  </si>
  <si>
    <t xml:space="preserve">Patologi                      </t>
  </si>
  <si>
    <t xml:space="preserve">Klinisk kemi                  </t>
  </si>
  <si>
    <t xml:space="preserve">Fysiologisk kemi              </t>
  </si>
  <si>
    <t xml:space="preserve">Medicinsk genetik             </t>
  </si>
  <si>
    <t xml:space="preserve">Klinisk mikrobiologi          </t>
  </si>
  <si>
    <t xml:space="preserve">Klinisk bakteriologi          </t>
  </si>
  <si>
    <t xml:space="preserve">Klinisk immunologi       </t>
  </si>
  <si>
    <t xml:space="preserve">Virologi                      </t>
  </si>
  <si>
    <t>Biomedicinsk laboratorievetenskap</t>
  </si>
  <si>
    <t xml:space="preserve">Infektionssjukdomar           </t>
  </si>
  <si>
    <t xml:space="preserve">Immunologi                    </t>
  </si>
  <si>
    <t xml:space="preserve">Omvårdnad                     </t>
  </si>
  <si>
    <t xml:space="preserve">Medicinsk kemi och biofysik   </t>
  </si>
  <si>
    <t>Interaktiv medicinsk biologi</t>
  </si>
  <si>
    <t xml:space="preserve">Anatomi                       </t>
  </si>
  <si>
    <t xml:space="preserve">Histologi med cellbiologi     </t>
  </si>
  <si>
    <t xml:space="preserve">Fysiologi                     </t>
  </si>
  <si>
    <t xml:space="preserve">Folkhälsa och klin medicin    </t>
  </si>
  <si>
    <t xml:space="preserve">Allmänmedicin                 </t>
  </si>
  <si>
    <t xml:space="preserve">Tillämpad medicin             </t>
  </si>
  <si>
    <t xml:space="preserve">Dermatologi och venereologi   </t>
  </si>
  <si>
    <t xml:space="preserve">Medicin                       </t>
  </si>
  <si>
    <t xml:space="preserve">Lungmedicin                   </t>
  </si>
  <si>
    <t xml:space="preserve">Reumatologi                   </t>
  </si>
  <si>
    <t xml:space="preserve">Miljömedicin                  </t>
  </si>
  <si>
    <t xml:space="preserve">Yrkesmedicin                  </t>
  </si>
  <si>
    <t>Folkhälsovetenskap</t>
  </si>
  <si>
    <t xml:space="preserve">Näringsforskning              </t>
  </si>
  <si>
    <t>Umeå centrum för molekylär med</t>
  </si>
  <si>
    <t xml:space="preserve">Odontologiska inst            </t>
  </si>
  <si>
    <t>Administration odontologi</t>
  </si>
  <si>
    <t xml:space="preserve">Cariologi                     </t>
  </si>
  <si>
    <t xml:space="preserve">Protetik                      </t>
  </si>
  <si>
    <t xml:space="preserve">Endodonti                     </t>
  </si>
  <si>
    <t xml:space="preserve">Oral mikrobiologi             </t>
  </si>
  <si>
    <t xml:space="preserve">Oral cellbiologi              </t>
  </si>
  <si>
    <t xml:space="preserve">Oral diagn radiologi          </t>
  </si>
  <si>
    <t xml:space="preserve">Odont materialvetenskap       </t>
  </si>
  <si>
    <t xml:space="preserve">Käkkirurgi                    </t>
  </si>
  <si>
    <t xml:space="preserve">Parodontologi                 </t>
  </si>
  <si>
    <t xml:space="preserve">Klinisk oral fysiologi        </t>
  </si>
  <si>
    <t xml:space="preserve">Pedodonti                     </t>
  </si>
  <si>
    <t xml:space="preserve">Ortodonti                     </t>
  </si>
  <si>
    <t xml:space="preserve">Tandhygienistutbildning       </t>
  </si>
  <si>
    <t>Tandteknikerprogrammet</t>
  </si>
  <si>
    <t xml:space="preserve">Gem Teknisk nat fakulteten    </t>
  </si>
  <si>
    <t xml:space="preserve">Plangrupp f tekn biologi      </t>
  </si>
  <si>
    <t xml:space="preserve">Interaktionsteknik och design </t>
  </si>
  <si>
    <t xml:space="preserve">Umeå Marina Forskningscentrum </t>
  </si>
  <si>
    <t xml:space="preserve">Växthuset                     </t>
  </si>
  <si>
    <t xml:space="preserve">Inst för Fysiologisk botanik  </t>
  </si>
  <si>
    <t>UPSC Umeå Plant Science Center</t>
  </si>
  <si>
    <t xml:space="preserve">Inst Designhögskolan          </t>
  </si>
  <si>
    <t xml:space="preserve">Inst för Fysik                </t>
  </si>
  <si>
    <t>Energiteknik</t>
  </si>
  <si>
    <t xml:space="preserve">Säkerhetshuset                </t>
  </si>
  <si>
    <t xml:space="preserve">Kemiförrådet                  </t>
  </si>
  <si>
    <t xml:space="preserve">VMC KBC                   </t>
  </si>
  <si>
    <t xml:space="preserve">Inst för datavetenskap        </t>
  </si>
  <si>
    <t xml:space="preserve">UCIT                          </t>
  </si>
  <si>
    <t xml:space="preserve">Lärarutbildningarna gem       </t>
  </si>
  <si>
    <t>Universitetspedagogiskt centrum</t>
  </si>
  <si>
    <t>Värdegrundcentrum VGC</t>
  </si>
  <si>
    <t>Inst f interakt medier o lärande</t>
  </si>
  <si>
    <t xml:space="preserve">SV/SO                         </t>
  </si>
  <si>
    <t>BUSV</t>
  </si>
  <si>
    <t>Månad</t>
  </si>
  <si>
    <t>VÅ</t>
  </si>
  <si>
    <t>HST Medv</t>
  </si>
  <si>
    <t>HPR Medv</t>
  </si>
  <si>
    <t>Medv namn</t>
  </si>
  <si>
    <t>Ansv org</t>
  </si>
  <si>
    <t>Kreativt skapande - trä och metall</t>
  </si>
  <si>
    <t>Hyrespris</t>
  </si>
  <si>
    <t>XXX</t>
  </si>
  <si>
    <t>Medverkande inst</t>
  </si>
  <si>
    <t>Kursansvar inst</t>
  </si>
  <si>
    <t>Takbelopp</t>
  </si>
  <si>
    <t>LGYLY</t>
  </si>
  <si>
    <t>LLÄPY</t>
  </si>
  <si>
    <t>LGRSY</t>
  </si>
  <si>
    <t>Examensarbete - Lärarprogrammet</t>
  </si>
  <si>
    <t>Utbildning</t>
  </si>
  <si>
    <t>Specialpedagogprogram</t>
  </si>
  <si>
    <t>Studie- och yrkesvägledarprogram</t>
  </si>
  <si>
    <t>SGSOC</t>
  </si>
  <si>
    <t>TMASY</t>
  </si>
  <si>
    <t>TENEY</t>
  </si>
  <si>
    <t>Kursintäkt</t>
  </si>
  <si>
    <t>Kurs-ansvar</t>
  </si>
  <si>
    <t>Utbildningsomr</t>
  </si>
  <si>
    <t>Design</t>
  </si>
  <si>
    <t>Idrott</t>
  </si>
  <si>
    <t>Musik</t>
  </si>
  <si>
    <t>Natur</t>
  </si>
  <si>
    <t>Teknik</t>
  </si>
  <si>
    <t>Undervisning</t>
  </si>
  <si>
    <t>Övrigt</t>
  </si>
  <si>
    <t>Pris HST netto</t>
  </si>
  <si>
    <t>PrisHPR netto</t>
  </si>
  <si>
    <t>Lokalers</t>
  </si>
  <si>
    <t>Studieveckor</t>
  </si>
  <si>
    <t>Org 1</t>
  </si>
  <si>
    <t>6ES026</t>
  </si>
  <si>
    <t>Värden</t>
  </si>
  <si>
    <t>Lokalintäkter</t>
  </si>
  <si>
    <t>Enheten för undervisning och lärande</t>
  </si>
  <si>
    <t>Kursansvarig</t>
  </si>
  <si>
    <t>Lokalin/hst</t>
  </si>
  <si>
    <t>Som medv</t>
  </si>
  <si>
    <t>Till medv</t>
  </si>
  <si>
    <t>HUM</t>
  </si>
  <si>
    <t>SAM</t>
  </si>
  <si>
    <t>TEKN</t>
  </si>
  <si>
    <t>MED</t>
  </si>
  <si>
    <t>6MU018</t>
  </si>
  <si>
    <t>Kursers</t>
  </si>
  <si>
    <t>Som kursansvarig</t>
  </si>
  <si>
    <t>Till medverkande (efter avdrag för kursansvar)</t>
  </si>
  <si>
    <t>Som medverkande (från kursansvarig efter avdrag för kursansvar)</t>
  </si>
  <si>
    <t>Summa av HPR Medv</t>
  </si>
  <si>
    <t>Vernr</t>
  </si>
  <si>
    <t>Verdatum</t>
  </si>
  <si>
    <t>Bokföringsorder</t>
  </si>
  <si>
    <t>Baskto</t>
  </si>
  <si>
    <t>Proj inst</t>
  </si>
  <si>
    <t>V-het</t>
  </si>
  <si>
    <t>Text</t>
  </si>
  <si>
    <t>D/K</t>
  </si>
  <si>
    <t>LGYPY</t>
  </si>
  <si>
    <t>LTEXY</t>
  </si>
  <si>
    <t>Anm</t>
  </si>
  <si>
    <t>anmkod</t>
  </si>
  <si>
    <t>Antagningstermin</t>
  </si>
  <si>
    <t>Inriktning</t>
  </si>
  <si>
    <t>Verksamhetsområde</t>
  </si>
  <si>
    <t>Hämtat ur</t>
  </si>
  <si>
    <t>TUV</t>
  </si>
  <si>
    <t>Vård</t>
  </si>
  <si>
    <t>Totala intäkter</t>
  </si>
  <si>
    <t xml:space="preserve"> HST</t>
  </si>
  <si>
    <t xml:space="preserve"> HPR</t>
  </si>
  <si>
    <t xml:space="preserve"> Lokalintäkt</t>
  </si>
  <si>
    <t xml:space="preserve"> Kursintäkt</t>
  </si>
  <si>
    <t xml:space="preserve"> HST medv</t>
  </si>
  <si>
    <t xml:space="preserve"> HPr medv</t>
  </si>
  <si>
    <t xml:space="preserve"> HPR medv</t>
  </si>
  <si>
    <t>Totala kursintäkter</t>
  </si>
  <si>
    <t>Totala lokalintäkter</t>
  </si>
  <si>
    <t>Lokalintäkter**</t>
  </si>
  <si>
    <t xml:space="preserve">Summa </t>
  </si>
  <si>
    <t>Totala intäkter till institutionen</t>
  </si>
  <si>
    <t>Kursavdrag</t>
  </si>
  <si>
    <t xml:space="preserve"> Kursintäkt efter avdrag</t>
  </si>
  <si>
    <t>Kursintäkt efter avdrag</t>
  </si>
  <si>
    <t>NMD</t>
  </si>
  <si>
    <t>Sam fak</t>
  </si>
  <si>
    <t>TEKNAT</t>
  </si>
  <si>
    <t>Justering musik/design</t>
  </si>
  <si>
    <t>Attest</t>
  </si>
  <si>
    <t>SAKNA</t>
  </si>
  <si>
    <t>6ES029</t>
  </si>
  <si>
    <t>Musik 1a</t>
  </si>
  <si>
    <t>6MU019</t>
  </si>
  <si>
    <t>LYAGR</t>
  </si>
  <si>
    <t>LYAGY</t>
  </si>
  <si>
    <t>LYFSK</t>
  </si>
  <si>
    <t>LYGFR</t>
  </si>
  <si>
    <t>LYGFT</t>
  </si>
  <si>
    <t>6SV022</t>
  </si>
  <si>
    <t>LYGRM</t>
  </si>
  <si>
    <t>6MU020</t>
  </si>
  <si>
    <t>6SL013</t>
  </si>
  <si>
    <t>6TX015</t>
  </si>
  <si>
    <t>6KN009</t>
  </si>
  <si>
    <t>LGRTY</t>
  </si>
  <si>
    <t>Lärarprogram NYA fr ht11</t>
  </si>
  <si>
    <t>SAMAM</t>
  </si>
  <si>
    <t>TYCID</t>
  </si>
  <si>
    <t>Slöjd, Textil 1b</t>
  </si>
  <si>
    <t>Musik 1b</t>
  </si>
  <si>
    <t>Slöjd, Trä- och metall 1b</t>
  </si>
  <si>
    <t>Idrott och hälsa I</t>
  </si>
  <si>
    <t>Svenska för F-3, kurs 2</t>
  </si>
  <si>
    <t>Inst kod</t>
  </si>
  <si>
    <t>6ES051</t>
  </si>
  <si>
    <t>6MU033</t>
  </si>
  <si>
    <t>6TX016</t>
  </si>
  <si>
    <t>6SL021</t>
  </si>
  <si>
    <t>6ID303</t>
  </si>
  <si>
    <t>Idrott och hälsa III</t>
  </si>
  <si>
    <t>Att undervisa i F-3</t>
  </si>
  <si>
    <t>LYYRK</t>
  </si>
  <si>
    <t>LYKGR</t>
  </si>
  <si>
    <t>LYKGY</t>
  </si>
  <si>
    <t>Kompletterande pedagogisk utbildning - åk 7-9, 90 hp, fr ht12</t>
  </si>
  <si>
    <t>Kompletterande pedagogisk utbildning - gymnasieskolan, 90 hp, fr ht12</t>
  </si>
  <si>
    <t>Lärarhögskolan - Umeå universitet</t>
  </si>
  <si>
    <t>** För institutioner inom Samfak går lokalintäkterna till fakulteten</t>
  </si>
  <si>
    <t>6ES052</t>
  </si>
  <si>
    <t>6MU034</t>
  </si>
  <si>
    <t>6SL022</t>
  </si>
  <si>
    <t>6TX020</t>
  </si>
  <si>
    <t>6KN011</t>
  </si>
  <si>
    <t>6MN018</t>
  </si>
  <si>
    <t>6MN021</t>
  </si>
  <si>
    <t>6MN022</t>
  </si>
  <si>
    <t>Skapande bild, distans</t>
  </si>
  <si>
    <t>Bild 1a</t>
  </si>
  <si>
    <t>Bild 2a, distans</t>
  </si>
  <si>
    <t>Hem- och konsumentkunskap, distans A</t>
  </si>
  <si>
    <t>Hem- och konsumentkunskap B, distans</t>
  </si>
  <si>
    <t>Matematik för lärande och undervisning för åk F-3 och 4-6, del 1</t>
  </si>
  <si>
    <t>Matematik för lärande och undervisning för åk f-3, del II</t>
  </si>
  <si>
    <t>Matematik för lärande och undervisning för åk 4-6, del II</t>
  </si>
  <si>
    <t>Musik &amp; skapande, kommunikation</t>
  </si>
  <si>
    <t>Musik 2a, distans</t>
  </si>
  <si>
    <t>Slöjd, Trä- och metall 2a, distans</t>
  </si>
  <si>
    <t>Vävdesign</t>
  </si>
  <si>
    <t>Textila uttryck II</t>
  </si>
  <si>
    <t>Kläddesign</t>
  </si>
  <si>
    <t>Slöjd, textil 2a, distans</t>
  </si>
  <si>
    <t>Examensarbete</t>
  </si>
  <si>
    <t>Bild 2b, distans</t>
  </si>
  <si>
    <t>Musik 2b, distans</t>
  </si>
  <si>
    <t>Slöjd, Trä- och metall 2b, distans</t>
  </si>
  <si>
    <t>Totalsumma</t>
  </si>
  <si>
    <t>Sam Summa</t>
  </si>
  <si>
    <t>TekNat Summa</t>
  </si>
  <si>
    <t>VFU</t>
  </si>
  <si>
    <t>Företagsekonomi</t>
  </si>
  <si>
    <t>2180 Summa</t>
  </si>
  <si>
    <t>Med Summa</t>
  </si>
  <si>
    <t>DE HST</t>
  </si>
  <si>
    <t>DE HPR</t>
  </si>
  <si>
    <t>HU HPR</t>
  </si>
  <si>
    <t>HU HST</t>
  </si>
  <si>
    <t>ID HPR</t>
  </si>
  <si>
    <t>ID HST</t>
  </si>
  <si>
    <t>LU HPR</t>
  </si>
  <si>
    <t>LU HST</t>
  </si>
  <si>
    <t>MU HPR</t>
  </si>
  <si>
    <t>MU HST</t>
  </si>
  <si>
    <t>NA HST</t>
  </si>
  <si>
    <t>NA HPR</t>
  </si>
  <si>
    <t>SA HST</t>
  </si>
  <si>
    <t>SA HPR</t>
  </si>
  <si>
    <t>TE HST</t>
  </si>
  <si>
    <t>TE HPR</t>
  </si>
  <si>
    <t>VFU HST</t>
  </si>
  <si>
    <t>VFU HPR</t>
  </si>
  <si>
    <t>XXX HST</t>
  </si>
  <si>
    <t>ÖV HST</t>
  </si>
  <si>
    <t>ÖV HPR</t>
  </si>
  <si>
    <t>VÅ HST</t>
  </si>
  <si>
    <t>VÅ HPR</t>
  </si>
  <si>
    <t>Orgnr</t>
  </si>
  <si>
    <t>K</t>
  </si>
  <si>
    <t>D</t>
  </si>
  <si>
    <t>Geografi och ekonomisk historia</t>
  </si>
  <si>
    <t>Epidemiologi och global hälsa</t>
  </si>
  <si>
    <t>6LÄ048</t>
  </si>
  <si>
    <t>Enl ök mellan inst</t>
  </si>
  <si>
    <t>6TX022</t>
  </si>
  <si>
    <t>Kläddesign II</t>
  </si>
  <si>
    <t>1620 Summa</t>
  </si>
  <si>
    <t>2193 Summa</t>
  </si>
  <si>
    <t>5740 Summa</t>
  </si>
  <si>
    <t>Summa av Totala intäkter</t>
  </si>
  <si>
    <t>LH</t>
  </si>
  <si>
    <t>Summa av Lokalintäkt</t>
  </si>
  <si>
    <t>Tips: Fliken "kurser alla" innehåller i princip all underliggande data (förutom fördelning mellan kursansvarig och medverkande). Här kan ni alltså filtrera på programkod, kurskod, kursansvarig inst mm, eller göra en egen pivot med denna flik som datakälla.</t>
  </si>
  <si>
    <t>Grundlärarprogrammet - fritidshem</t>
  </si>
  <si>
    <t>Förskollärarprogrammet</t>
  </si>
  <si>
    <t>Grundlärarprogrammet - förskoleklass och åk 1-3</t>
  </si>
  <si>
    <t>Grundlärarprogrammet - grundskolans åk 4-6</t>
  </si>
  <si>
    <t>Ämneslärarprogrammet - åk 7-9</t>
  </si>
  <si>
    <t>Fr o m ht12</t>
  </si>
  <si>
    <t>Yrkeslärarprogrammet</t>
  </si>
  <si>
    <t>KPU - åk 7-9</t>
  </si>
  <si>
    <t>KPU - Gy</t>
  </si>
  <si>
    <t>Specialpedagogprogrammet</t>
  </si>
  <si>
    <t>Speciallärarprogrammet</t>
  </si>
  <si>
    <t>Lärarprogram långa - före ht11</t>
  </si>
  <si>
    <t>Lärarprogram kort - före ht11</t>
  </si>
  <si>
    <t>Anm 1</t>
  </si>
  <si>
    <t>Anm 2</t>
  </si>
  <si>
    <t>TFE</t>
  </si>
  <si>
    <t>6LV002</t>
  </si>
  <si>
    <t xml:space="preserve">TUV </t>
  </si>
  <si>
    <t>Fd 3257</t>
  </si>
  <si>
    <t>Biologididaktik 2 för ämneslärare för gymnasium</t>
  </si>
  <si>
    <t>Fysikdidaktik 1 för ämneslärare för gymnasium</t>
  </si>
  <si>
    <t>Fysikdidaktik 2 för ämneslärare för gymnasium</t>
  </si>
  <si>
    <t>Ungdomsromanen i samtiden</t>
  </si>
  <si>
    <t>Slöjd, textil 2b, distans</t>
  </si>
  <si>
    <t>LYKGY/GR</t>
  </si>
  <si>
    <t>KPU - Förhöjd studietakt</t>
  </si>
  <si>
    <t>6KN016</t>
  </si>
  <si>
    <t>Hem- och konsumentkunskap C - fördjupning</t>
  </si>
  <si>
    <t>Ämneslärarprogrammet - Gy</t>
  </si>
  <si>
    <t>3306 Summa</t>
  </si>
  <si>
    <t>Varifrån uppgifterna (antal studenter - HST) har hämtats kan ni se i kolumnen "Hämtat ur"</t>
  </si>
  <si>
    <t>Orgenhet</t>
  </si>
  <si>
    <t>LISTA</t>
  </si>
  <si>
    <t>VAL-projektet</t>
  </si>
  <si>
    <t>1EN047</t>
  </si>
  <si>
    <t>Engelska C, Allmän inriktning, nätkurs</t>
  </si>
  <si>
    <t>1EN050</t>
  </si>
  <si>
    <t>Engelska A1, nätkurs</t>
  </si>
  <si>
    <t>1EN053</t>
  </si>
  <si>
    <t>Engelska B2, nätkurs</t>
  </si>
  <si>
    <t>1SP009</t>
  </si>
  <si>
    <t>Spanska C1</t>
  </si>
  <si>
    <t>6DI003</t>
  </si>
  <si>
    <t>6DI004</t>
  </si>
  <si>
    <t>6DI005</t>
  </si>
  <si>
    <t>6DI006</t>
  </si>
  <si>
    <t>Bedömning-avancerad nivå (VAL,ULV)</t>
  </si>
  <si>
    <t>Vetenskap och kunskap, avancerad nivå (VAL,ULV)</t>
  </si>
  <si>
    <t>Bedömning-grundnivå (VAL,ULV)</t>
  </si>
  <si>
    <t>Vetenskap och kunskap-grundnivå (VAL,ULV)</t>
  </si>
  <si>
    <t>6PE176</t>
  </si>
  <si>
    <t>6PE177</t>
  </si>
  <si>
    <t>6PE178</t>
  </si>
  <si>
    <t>6PE179</t>
  </si>
  <si>
    <t>6PE180</t>
  </si>
  <si>
    <t>Utbildningens villkor och samhälleliga funktion - grundnivå (VAL, ULV)</t>
  </si>
  <si>
    <t>Specialpedagogik, sociala relationer och kommunikation - grundnivå (VAL, ULV)</t>
  </si>
  <si>
    <t>Specialpedagogik, sociala relationer och kommunikation - avancerad nivå (VAL, ULV)</t>
  </si>
  <si>
    <t>Uppdrag, ledarskap och undervisning - grundnivå (VAL, ULV)</t>
  </si>
  <si>
    <t>Undervisning och lärande - läroplansteori och didaktik - grundnivå (VAL, ULV)</t>
  </si>
  <si>
    <t>6PE181</t>
  </si>
  <si>
    <t>Enl ök mellan inst 151202</t>
  </si>
  <si>
    <t>6BI102</t>
  </si>
  <si>
    <t>6FY101</t>
  </si>
  <si>
    <t>6FY102</t>
  </si>
  <si>
    <t>1FR008</t>
  </si>
  <si>
    <t>1FR009</t>
  </si>
  <si>
    <t>1HI005</t>
  </si>
  <si>
    <t>1LV002</t>
  </si>
  <si>
    <t>1NS059</t>
  </si>
  <si>
    <t>1SP003</t>
  </si>
  <si>
    <t>1SP024</t>
  </si>
  <si>
    <t>2SV014</t>
  </si>
  <si>
    <t>Franska B med allmän inriktning</t>
  </si>
  <si>
    <t>Franska C med allmän inriktning</t>
  </si>
  <si>
    <t>Litteraturvetenskap B</t>
  </si>
  <si>
    <t>Textanalys</t>
  </si>
  <si>
    <t>Spanska A1</t>
  </si>
  <si>
    <t>Spanska A1:6, Litteratur och kultur</t>
  </si>
  <si>
    <t>Statsvetenskap B</t>
  </si>
  <si>
    <r>
      <rPr>
        <b/>
        <sz val="14"/>
        <rFont val="Times New Roman"/>
        <family val="1"/>
      </rPr>
      <t>HPR</t>
    </r>
    <r>
      <rPr>
        <sz val="14"/>
        <rFont val="Times New Roman"/>
        <family val="1"/>
      </rPr>
      <t>: En genomströmning på 100 % tillämpas för samtliga kurser som ges inom VAL-projektet, detta gäller oavsett faktiskt utfall.</t>
    </r>
  </si>
  <si>
    <t>eva.alenius@umu.se</t>
  </si>
  <si>
    <t>Fördela resurser hit enl uppg från Samfak</t>
  </si>
  <si>
    <t>VAL - Kurs- o lokalintäkt</t>
  </si>
  <si>
    <t>VAL - Kursintäkter</t>
  </si>
  <si>
    <t>VAL - Lokalintäkter</t>
  </si>
  <si>
    <t>1EN052</t>
  </si>
  <si>
    <t>1FL081</t>
  </si>
  <si>
    <t>2KN035</t>
  </si>
  <si>
    <t>6HI029</t>
  </si>
  <si>
    <t>6MN047</t>
  </si>
  <si>
    <t>6MN048</t>
  </si>
  <si>
    <t>6SL036</t>
  </si>
  <si>
    <t>6DI009</t>
  </si>
  <si>
    <t>6DI010</t>
  </si>
  <si>
    <t>6DI011</t>
  </si>
  <si>
    <t>6PE060</t>
  </si>
  <si>
    <t>6SH011</t>
  </si>
  <si>
    <t>Engelska B1, nätkurs</t>
  </si>
  <si>
    <t>Påbyggnadskurs i filosofi</t>
  </si>
  <si>
    <t>Kost vid träning</t>
  </si>
  <si>
    <t>Examensarbete för ämneslärarexamen - historia</t>
  </si>
  <si>
    <t>Matematik 2 för lärande och undervisning för förskoleklass och grundskolans årskurs 1-3</t>
  </si>
  <si>
    <t>Matematik 2 för lärande och undervisning för grundskolans årskurs 4-6</t>
  </si>
  <si>
    <t>Form, färg, estetik och uttryck - Utveckla ditt formspråk i trä</t>
  </si>
  <si>
    <t>Biologididaktik för ämneslärare för åk 7-9</t>
  </si>
  <si>
    <t>Bedömning och betygsättning</t>
  </si>
  <si>
    <t>Samhällskunskap 3</t>
  </si>
  <si>
    <t>Kurser inom detta projekt ligger alla under programkoden LYLÄP (ett fåtal kan vara registrerade på fristående kurs men med finansieringsform VAL). Observera att för dessa kurser måste ni (studieadmin) skapa Ej sökbara kurstillfällen och märka dessa med finansieringsform VAL, detta är viktigt för att ni ska få intäkter även för dessa studenter!</t>
  </si>
  <si>
    <t>2IT031</t>
  </si>
  <si>
    <t>6MA023</t>
  </si>
  <si>
    <t>6TX014</t>
  </si>
  <si>
    <t>Matematikundervisning med IT</t>
  </si>
  <si>
    <t>Funktionslära och grundläggande analys</t>
  </si>
  <si>
    <t>Slöjd, Textil 1a</t>
  </si>
  <si>
    <t>Totalt prislappar</t>
  </si>
  <si>
    <t>1EN002</t>
  </si>
  <si>
    <t>1EN063</t>
  </si>
  <si>
    <t>1RE042</t>
  </si>
  <si>
    <t>1RE043</t>
  </si>
  <si>
    <t>1SA139</t>
  </si>
  <si>
    <t>2IT006</t>
  </si>
  <si>
    <t>2IT026</t>
  </si>
  <si>
    <t>5KE011</t>
  </si>
  <si>
    <t>5KE020</t>
  </si>
  <si>
    <t>6DI018</t>
  </si>
  <si>
    <t>6DI019</t>
  </si>
  <si>
    <t>6DI020</t>
  </si>
  <si>
    <t>6DI021</t>
  </si>
  <si>
    <t>6EN029</t>
  </si>
  <si>
    <t>6ES030</t>
  </si>
  <si>
    <t>6HI015</t>
  </si>
  <si>
    <t>6KE101</t>
  </si>
  <si>
    <t>6KE102</t>
  </si>
  <si>
    <t>6LÄ006</t>
  </si>
  <si>
    <t>6LÄ057</t>
  </si>
  <si>
    <t>6MA025</t>
  </si>
  <si>
    <t>6MA026</t>
  </si>
  <si>
    <t>6MN049</t>
  </si>
  <si>
    <t>6PE148</t>
  </si>
  <si>
    <t>6SV017</t>
  </si>
  <si>
    <t>Engelska A, Grammatik och översättning</t>
  </si>
  <si>
    <t>Engelska, Examensarbete för kandidatexamen</t>
  </si>
  <si>
    <t>Religionsvetenskap: grundkurs A1</t>
  </si>
  <si>
    <t>Religionsvetenskap: grundkurs A2</t>
  </si>
  <si>
    <t>Samiska C, Samisk språkvetenskap</t>
  </si>
  <si>
    <t>Digitala bilder</t>
  </si>
  <si>
    <t>Digitalt berättande och kreativt lärande</t>
  </si>
  <si>
    <t>Bioorganisk kemi</t>
  </si>
  <si>
    <t>Biokemi</t>
  </si>
  <si>
    <t>Bedömning - grundnivå (VAL, ULV)</t>
  </si>
  <si>
    <t>Bedömning - avancerad nivå (VAL, ULV)</t>
  </si>
  <si>
    <t>Vetenskap och kunskap - grundnivå (VAL, ULV)</t>
  </si>
  <si>
    <t>Vetenskap och kunskap - avancerad nivå (VAL, ULV)</t>
  </si>
  <si>
    <t>Engelska III för ämneslärare med inriktning mot gymnasiet</t>
  </si>
  <si>
    <t>Bild 1b</t>
  </si>
  <si>
    <t>Historia III forts.</t>
  </si>
  <si>
    <t>Kemididaktik 1 för ämneslärare för gymnasiet</t>
  </si>
  <si>
    <t>Kemididaktik 2 för ämneslärare för gymnasiet</t>
  </si>
  <si>
    <t>Barns tal-, skriv- och läsinlärning I</t>
  </si>
  <si>
    <t>6LÄ056</t>
  </si>
  <si>
    <t>Läs - och skrivutveckling, kurs 2</t>
  </si>
  <si>
    <t>Läs - och skrivutveckling, kurs 3</t>
  </si>
  <si>
    <t>Analys, fördjupning</t>
  </si>
  <si>
    <t>Geometri och matematikens historia</t>
  </si>
  <si>
    <t>Matematik 1 för lärande och undervisning för förskoleklass och grundskolans årskurs 1-6</t>
  </si>
  <si>
    <t>Ämnesdidaktik i skolpraktiken, del 1</t>
  </si>
  <si>
    <t>Läs- och skrivinlärning 1</t>
  </si>
  <si>
    <t>1RY016</t>
  </si>
  <si>
    <t>1RY023</t>
  </si>
  <si>
    <t>1RY029</t>
  </si>
  <si>
    <t>6PE247</t>
  </si>
  <si>
    <t>6PE248</t>
  </si>
  <si>
    <t>6SL038</t>
  </si>
  <si>
    <t>Skapandets intryck - utveckla och tala om hantverkets tysta kunskap</t>
  </si>
  <si>
    <t>Examensarbete med ämnesdidaktisk inriktning (VAL, ULV)</t>
  </si>
  <si>
    <t>Undervisning och lärande - läroplansteori och didaktik - avancerad nivå (VAL, ULV)</t>
  </si>
  <si>
    <t>Ryska C, Språk, litteratur och språkfärdighet</t>
  </si>
  <si>
    <t>Ryska A, Fonetik och muntlig språkfärdighet</t>
  </si>
  <si>
    <t>Ryska B, Grammatik, skriftlig kommunikation och realia</t>
  </si>
  <si>
    <t>Anna Nordström, controller</t>
  </si>
  <si>
    <t>5BI204</t>
  </si>
  <si>
    <t>Ekologi A</t>
  </si>
  <si>
    <t>1SP023</t>
  </si>
  <si>
    <t>1TY042</t>
  </si>
  <si>
    <t>6ID013</t>
  </si>
  <si>
    <t>6TX027</t>
  </si>
  <si>
    <t>6TX029</t>
  </si>
  <si>
    <t>Spanska A1:5, Skriftlig och muntlig språkfärdighet</t>
  </si>
  <si>
    <t>Tyska, Tandem svenska-tyska</t>
  </si>
  <si>
    <t>Examensarbete i Idrott och hälsa för ämneslärarexamen</t>
  </si>
  <si>
    <t>Väv- och kläddesign: Estetiska skapandeprocesser</t>
  </si>
  <si>
    <t>1HI008</t>
  </si>
  <si>
    <t>5BI223</t>
  </si>
  <si>
    <t>6EN036</t>
  </si>
  <si>
    <t>6ES082</t>
  </si>
  <si>
    <t>6FY009</t>
  </si>
  <si>
    <t>6MS001</t>
  </si>
  <si>
    <t>6PE034</t>
  </si>
  <si>
    <t>6PE182</t>
  </si>
  <si>
    <t>6SD003</t>
  </si>
  <si>
    <t>6TX026</t>
  </si>
  <si>
    <t>Historia C</t>
  </si>
  <si>
    <t>Klimatförändringar - orsaker och verkan (Bio)</t>
  </si>
  <si>
    <t>Engelska 2 för ämneslärare med inriktning mot gymnasiet</t>
  </si>
  <si>
    <t>Bild 1 distans</t>
  </si>
  <si>
    <t>Astronomi och meteorologi</t>
  </si>
  <si>
    <t>Statistik för lärare</t>
  </si>
  <si>
    <t>Ämnesdidaktik 1 - samhällsvetenskapliga och humanistiska ämnen</t>
  </si>
  <si>
    <t>Sex och samlevnad</t>
  </si>
  <si>
    <t>Examensarbete i språkdidaktik för ämneslärarexamen</t>
  </si>
  <si>
    <t>Slöjd 1, textil</t>
  </si>
  <si>
    <t>Fördelning mellan kursansvarig och ev medverkande institutioner ska meddelas Lärarhögskolans kanslichef genom en skriftlig överenskommelse (underskriven av berörda prefekter), detta gäller både nya kurser och kurser där en förändring av nu gällande fördelning ska ske. Nu gällande fördelning, se fliken "underlag medverkande 2".</t>
  </si>
  <si>
    <t>6ID017</t>
  </si>
  <si>
    <t>1EN051</t>
  </si>
  <si>
    <t>1NS058</t>
  </si>
  <si>
    <t>1RE183</t>
  </si>
  <si>
    <t>1RE186</t>
  </si>
  <si>
    <t>1RE207</t>
  </si>
  <si>
    <t>1SA149</t>
  </si>
  <si>
    <t>1SP022</t>
  </si>
  <si>
    <t>2JU033</t>
  </si>
  <si>
    <t>5EL230</t>
  </si>
  <si>
    <t>5KE002</t>
  </si>
  <si>
    <t>5KE034</t>
  </si>
  <si>
    <t>5KE165</t>
  </si>
  <si>
    <t>6EN019</t>
  </si>
  <si>
    <t>6EN035</t>
  </si>
  <si>
    <t>6ES066</t>
  </si>
  <si>
    <t>6ES067</t>
  </si>
  <si>
    <t>6ID018</t>
  </si>
  <si>
    <t>6MA029</t>
  </si>
  <si>
    <t>6MA048</t>
  </si>
  <si>
    <t>6SV051</t>
  </si>
  <si>
    <t>6TX025</t>
  </si>
  <si>
    <t>6TX030</t>
  </si>
  <si>
    <t>Akvatisk kemi</t>
  </si>
  <si>
    <t>Biofysikalisk kemi: Termodynamik</t>
  </si>
  <si>
    <t>Kemins grunder</t>
  </si>
  <si>
    <t>Engelska I för ämneslärare med inriktning mot gymnasiet</t>
  </si>
  <si>
    <t>Engelska 3 för ämneslärare med inriktning mot gymnasiet</t>
  </si>
  <si>
    <t>Ämnesdidaktik i skolpraktiken, del 2</t>
  </si>
  <si>
    <t>Idrott och hälsa 3</t>
  </si>
  <si>
    <t>Introduktion till diskret matematik</t>
  </si>
  <si>
    <t>Matematikens historia</t>
  </si>
  <si>
    <t>Svenska som andraspråk B, Flerspråkighet och fördjupning</t>
  </si>
  <si>
    <t>Enl uppg från Pedagogik 171012</t>
  </si>
  <si>
    <t>Engelska A2, nätkurs</t>
  </si>
  <si>
    <t>Skrivande i utbildning och yrkesliv</t>
  </si>
  <si>
    <t>Religionspsykologi: Kandidatkurs</t>
  </si>
  <si>
    <t>Religionshistoria: kandidatkurs</t>
  </si>
  <si>
    <t>Litteratur, historia och teologi i den hebreiska bibeln: icke-språklig kandidatkurs i exegetik</t>
  </si>
  <si>
    <t>Samiska C med didaktisk inriktning</t>
  </si>
  <si>
    <t>Spanska, Examensarbete för kandidatexamen</t>
  </si>
  <si>
    <t>Juridisk översiktskurs</t>
  </si>
  <si>
    <t>Skript och webbprogrammering i Linux</t>
  </si>
  <si>
    <t>Textila uttryck</t>
  </si>
  <si>
    <t>Väv- och kläddesign fördjupning</t>
  </si>
  <si>
    <t>1HI073</t>
  </si>
  <si>
    <t>1SP027</t>
  </si>
  <si>
    <t>2IT029</t>
  </si>
  <si>
    <t>6ID314</t>
  </si>
  <si>
    <t>6KN015</t>
  </si>
  <si>
    <t>6LV003</t>
  </si>
  <si>
    <t>6MA046</t>
  </si>
  <si>
    <t>6MS002</t>
  </si>
  <si>
    <t>6SL035</t>
  </si>
  <si>
    <t>6SV050</t>
  </si>
  <si>
    <t>Historia B</t>
  </si>
  <si>
    <t>Spanska B</t>
  </si>
  <si>
    <t>Digital kompetens och lärande I</t>
  </si>
  <si>
    <t>Idrott och hälsa II för gymnasieskolan</t>
  </si>
  <si>
    <t>Hem- och kunsumentkunskap B15, distans</t>
  </si>
  <si>
    <t>Bilderboken och barnromanen</t>
  </si>
  <si>
    <t>Envariabelanalys 2</t>
  </si>
  <si>
    <t>Slöjd 1, Trä- och metall</t>
  </si>
  <si>
    <t>Svenska som andraspråk B, Flerspråkiga inlärares litteracitet</t>
  </si>
  <si>
    <t>Juridiska institutionen</t>
  </si>
  <si>
    <t>Kemiska institutionen</t>
  </si>
  <si>
    <t>Institutionen för Fysik</t>
  </si>
  <si>
    <t>1LV057</t>
  </si>
  <si>
    <t>1NS066</t>
  </si>
  <si>
    <t>2SP002</t>
  </si>
  <si>
    <t>6ES090</t>
  </si>
  <si>
    <t>Svenska språket A: Skrivande i utbildning och yrkesliv</t>
  </si>
  <si>
    <t>Konflikthantering i skolan</t>
  </si>
  <si>
    <t>1EN062</t>
  </si>
  <si>
    <t>1IH000</t>
  </si>
  <si>
    <t>1NS068</t>
  </si>
  <si>
    <t>1NS069</t>
  </si>
  <si>
    <t>1RE062</t>
  </si>
  <si>
    <t>1RY017</t>
  </si>
  <si>
    <t>1SP021</t>
  </si>
  <si>
    <t>6BI100</t>
  </si>
  <si>
    <t>6ES038</t>
  </si>
  <si>
    <t>6ES091</t>
  </si>
  <si>
    <t>6KN023</t>
  </si>
  <si>
    <t>6MA037</t>
  </si>
  <si>
    <t>6MA040</t>
  </si>
  <si>
    <t>6MA041</t>
  </si>
  <si>
    <t>6MA042</t>
  </si>
  <si>
    <t>6MA043</t>
  </si>
  <si>
    <t>6MA045</t>
  </si>
  <si>
    <t>6PE212</t>
  </si>
  <si>
    <t>6PE234</t>
  </si>
  <si>
    <t>Engelska A, Kulturstudier och akademiskt skrivande</t>
  </si>
  <si>
    <t>Idéhistoria A</t>
  </si>
  <si>
    <t>Svenska/Nordiska språk B: Svenska språkets historia</t>
  </si>
  <si>
    <t>Svenska/Nordiska språk B: Språk och språkpolitik i Norden</t>
  </si>
  <si>
    <t>Religionsvetenskap: grundkurs</t>
  </si>
  <si>
    <t>Ryska C, Examensarbete för kandidatexamen</t>
  </si>
  <si>
    <t>Spanska C, Lingvistik, litteratur och språkfärdighet</t>
  </si>
  <si>
    <t>Examensarbete - estetiska ämnen</t>
  </si>
  <si>
    <t>6KN014</t>
  </si>
  <si>
    <t>Mat och hälsa för barn och ungdomar</t>
  </si>
  <si>
    <t>Hem- och konsumentkunskap A</t>
  </si>
  <si>
    <t>Matematik 2 för förskoleklass och grundskolans årskurs 1-3</t>
  </si>
  <si>
    <t>Algebra</t>
  </si>
  <si>
    <t>Envariabelanalys 1</t>
  </si>
  <si>
    <t>Matematiska metoder</t>
  </si>
  <si>
    <t>Diskret matematik</t>
  </si>
  <si>
    <t>Differentialekvationer och flervariabelanalys</t>
  </si>
  <si>
    <t>Examensarbete för grundlärarexamen med inriktning mot förskoleklass och grundskolans år 1-3</t>
  </si>
  <si>
    <t>Verksamhetsförlagd utbildning (VFU)</t>
  </si>
  <si>
    <t>6LU002</t>
  </si>
  <si>
    <t>Demokrati, individ och samhälle</t>
  </si>
  <si>
    <t>1640 Summa</t>
  </si>
  <si>
    <t>Hum Summa</t>
  </si>
  <si>
    <t>1630 Summa</t>
  </si>
  <si>
    <t>Bytt fr 3704 till 3850 fr o m mars -19</t>
  </si>
  <si>
    <t>3850 Summa</t>
  </si>
  <si>
    <t>Idrottsmedicin</t>
  </si>
  <si>
    <t>6SV061</t>
  </si>
  <si>
    <t>6SV062</t>
  </si>
  <si>
    <t>6MU059</t>
  </si>
  <si>
    <t>6MU060</t>
  </si>
  <si>
    <t>Ny</t>
  </si>
  <si>
    <t>Musik 2, distans</t>
  </si>
  <si>
    <t>Musik 3, distans</t>
  </si>
  <si>
    <t>Svenska som andraspråk A, Det mångkulturella klassrummet och svenskans fonologi</t>
  </si>
  <si>
    <t>Svenska som andraspråk A, Att lära på ett andraspråk och svenskans grammatik</t>
  </si>
  <si>
    <t>Hjälpkolumner</t>
  </si>
  <si>
    <t>Notering</t>
  </si>
  <si>
    <t>Eva Alenius, Lärarhögskolans kansli</t>
  </si>
  <si>
    <t>Eva Alenius, fakultetssamordnare</t>
  </si>
  <si>
    <t>1MU021</t>
  </si>
  <si>
    <t>1NS075</t>
  </si>
  <si>
    <t>1NS076</t>
  </si>
  <si>
    <t>1NS078</t>
  </si>
  <si>
    <t>1SL006</t>
  </si>
  <si>
    <t>1SV036</t>
  </si>
  <si>
    <t>6ES107</t>
  </si>
  <si>
    <t>6KN024</t>
  </si>
  <si>
    <t>6KN025</t>
  </si>
  <si>
    <t>6MN036</t>
  </si>
  <si>
    <t>6MU058</t>
  </si>
  <si>
    <t>Examensarbete för ämneslärarexamen - Matematik</t>
  </si>
  <si>
    <t>Musik 1, distans</t>
  </si>
  <si>
    <t>Arrangering, komposition och musikteori</t>
  </si>
  <si>
    <t>Svenska/Nordiska språk C: Språkvård förr och idag</t>
  </si>
  <si>
    <t>Svenska/Nordiska språk C: Språklig variation</t>
  </si>
  <si>
    <t>Språken i Norden</t>
  </si>
  <si>
    <t>Digitala verktyg i Slöjd</t>
  </si>
  <si>
    <t>Språk och representation av kön</t>
  </si>
  <si>
    <t>Hem- och konsumentkunskap B</t>
  </si>
  <si>
    <t>Mat och måltider för barn och ungdomar</t>
  </si>
  <si>
    <t>Klassas troligtvis till hu?</t>
  </si>
  <si>
    <t>Fr o m januari</t>
  </si>
  <si>
    <t>Fr o m juni</t>
  </si>
  <si>
    <t>Fr o m september</t>
  </si>
  <si>
    <t>Stöd hämtat ur Totalt per inst</t>
  </si>
  <si>
    <t>1SP030</t>
  </si>
  <si>
    <t>Spanska B (nätkurs)</t>
  </si>
  <si>
    <t>Att åtgärda 2020</t>
  </si>
  <si>
    <t>Prel avräkning dec</t>
  </si>
  <si>
    <t>1EN079</t>
  </si>
  <si>
    <t>1MU020</t>
  </si>
  <si>
    <t>1NS071</t>
  </si>
  <si>
    <t>1NS072</t>
  </si>
  <si>
    <t>2PS114</t>
  </si>
  <si>
    <t>2PS115</t>
  </si>
  <si>
    <t>2PS116</t>
  </si>
  <si>
    <t>2PS117</t>
  </si>
  <si>
    <t>6KE100</t>
  </si>
  <si>
    <t>6KN027</t>
  </si>
  <si>
    <t>6KN028</t>
  </si>
  <si>
    <t>6KN029</t>
  </si>
  <si>
    <t>6KS005</t>
  </si>
  <si>
    <t>6MA044</t>
  </si>
  <si>
    <t>6MN050</t>
  </si>
  <si>
    <t>6PE111</t>
  </si>
  <si>
    <t>6PE250</t>
  </si>
  <si>
    <t>Engelska C</t>
  </si>
  <si>
    <t>Musikskapande till Film, Dataspel och Teater</t>
  </si>
  <si>
    <t>Svenska/Nordiska språk B: Att forska om språk</t>
  </si>
  <si>
    <t>Svenska språket A: Praktisk retorik</t>
  </si>
  <si>
    <t>Introduktionskurs i Psykologi</t>
  </si>
  <si>
    <t>Social- och gruppsykologi</t>
  </si>
  <si>
    <t>Biologisk psykologi</t>
  </si>
  <si>
    <t>Vetenskaplig metod</t>
  </si>
  <si>
    <t>Kemididaktik för ämneslärare för åk 7-9</t>
  </si>
  <si>
    <t>Hälsokommunikation och sociologiska perspektiv inom hem- och konsumentkunskap</t>
  </si>
  <si>
    <t>Vetenskaplig metod med inriktning hem- och konsumentkunskap</t>
  </si>
  <si>
    <t>Uppsats med inriktning hem- och konsumentkunskap</t>
  </si>
  <si>
    <t>Skolmusikal</t>
  </si>
  <si>
    <t>Problemlösning och matematiska resonemang</t>
  </si>
  <si>
    <t>Matematikdidaktik 1 för grundskolans åk 7-9 och gymnasiet</t>
  </si>
  <si>
    <t>Grupprocesser och samverkan ur ett fritidshemsperspektiv</t>
  </si>
  <si>
    <t>Elever i behov av extra anpassningar och särskilt stöd ur ett fritidshemsperspektiv</t>
  </si>
  <si>
    <t>1650 Summa</t>
  </si>
  <si>
    <t>VT</t>
  </si>
  <si>
    <t>Kursintäkter
totalt 2020 (uppdat jan -20)</t>
  </si>
  <si>
    <t>Lokalintäkt
totalt 2020 (uppdat jan -20)</t>
  </si>
  <si>
    <t xml:space="preserve">Utfördelat
t o m </t>
  </si>
  <si>
    <t>Inkopierat från flik "Totalt per inst" (i jan -20)</t>
  </si>
  <si>
    <t xml:space="preserve">Utfördelat t o m </t>
  </si>
  <si>
    <t>Inst för psykologi</t>
  </si>
  <si>
    <r>
      <rPr>
        <b/>
        <sz val="14"/>
        <rFont val="Times New Roman"/>
        <family val="1"/>
      </rPr>
      <t>Prislapparna</t>
    </r>
    <r>
      <rPr>
        <sz val="14"/>
        <rFont val="Times New Roman"/>
        <family val="1"/>
      </rPr>
      <t xml:space="preserve"> är uppdaterade för 2020.</t>
    </r>
  </si>
  <si>
    <t>JANUARI-FEBRUARI 2020</t>
  </si>
  <si>
    <t>Att utfördela JAN+FEB -20</t>
  </si>
  <si>
    <t>Ändra kursansvar från språkstudier till estetiska för kursen 1SL006</t>
  </si>
  <si>
    <t>AUGUSTI 2020</t>
  </si>
  <si>
    <t>Att utfördela augusti -20</t>
  </si>
  <si>
    <t>Ändra org nr för kostvetenskap från 2750 till 2650. Det är ändrat i bokföringsordern men inte i själva RTVn</t>
  </si>
  <si>
    <t>Kursintäkter
totalt 2020 fr o m jan -20</t>
  </si>
  <si>
    <t>Lokalintäkt
totalt 2020 fr o m jan -20</t>
  </si>
  <si>
    <t>Kursintäkter
Utfördelat t o m aug -20</t>
  </si>
  <si>
    <t>Lokalintäkter
Utfördelat t o m aug -20</t>
  </si>
  <si>
    <t>Tot utfördelat t o m aug -20</t>
  </si>
  <si>
    <t>Att utfördela sept -20</t>
  </si>
  <si>
    <t>RTV - VAL-projektet - Preliminär fr o m januari 2020 - uppdaterad september 2020</t>
  </si>
  <si>
    <t>Uppdaterat fr o m sept 2020</t>
  </si>
  <si>
    <t>Resurser till VAL - preliminär  september 2020 (uppdaterad september 2020)</t>
  </si>
  <si>
    <t>6SA011</t>
  </si>
  <si>
    <t>6SV066</t>
  </si>
  <si>
    <t>Ladok 200831</t>
  </si>
  <si>
    <t>Spanska för ämneslärare, kurs III</t>
  </si>
  <si>
    <t>Svenska som andraspråk C, Diskriminerande strukturer och skönlitteratur</t>
  </si>
  <si>
    <t>1HI000</t>
  </si>
  <si>
    <t>1NS082</t>
  </si>
  <si>
    <t>6KN026</t>
  </si>
  <si>
    <t>6MN040</t>
  </si>
  <si>
    <t>6TX037</t>
  </si>
  <si>
    <t>H20</t>
  </si>
  <si>
    <t>V19</t>
  </si>
  <si>
    <t>V20</t>
  </si>
  <si>
    <t>H18</t>
  </si>
  <si>
    <t>H19</t>
  </si>
  <si>
    <t>V18</t>
  </si>
  <si>
    <t>H17</t>
  </si>
  <si>
    <t>V16</t>
  </si>
  <si>
    <t>HT</t>
  </si>
  <si>
    <t>H201-20</t>
  </si>
  <si>
    <t>H201-20:V211-20</t>
  </si>
  <si>
    <t>H201-10</t>
  </si>
  <si>
    <t>H2011-20</t>
  </si>
  <si>
    <t>H206-10</t>
  </si>
  <si>
    <t>H201-5</t>
  </si>
  <si>
    <t>H2016-20:V211-15</t>
  </si>
  <si>
    <t>H2016-20</t>
  </si>
  <si>
    <t>Historia A</t>
  </si>
  <si>
    <t>Skandinavistik med inriktning mot nordliga studier - synkrona perspektiv</t>
  </si>
  <si>
    <t>Hem- och konsumentkunskap B15</t>
  </si>
  <si>
    <t>Matematik 3 för förskoleklass och grundskolans årskurs 1-3</t>
  </si>
  <si>
    <t>SPn 200925</t>
  </si>
  <si>
    <t>Läser 15 hp denna termin</t>
  </si>
  <si>
    <t>Kursintäkter
totalt 2020 (uppdat sept -20)</t>
  </si>
  <si>
    <t>Lokalintäkt
totalt 2020 (uppdat sept -20)</t>
  </si>
  <si>
    <t>Inkopierat från flik "Totalt per inst" (i sept -20)</t>
  </si>
  <si>
    <r>
      <rPr>
        <b/>
        <sz val="14"/>
        <rFont val="Times New Roman"/>
        <family val="1"/>
      </rPr>
      <t>HST</t>
    </r>
    <r>
      <rPr>
        <sz val="14"/>
        <rFont val="Times New Roman"/>
        <family val="1"/>
      </rPr>
      <t xml:space="preserve">: Uppgifterna är hämtade ur Ladok för vt20, uttag 200831. Uppgifter för ht20 är hämtade från SPn 200925. Uttaget har rensats på kurser som ej har ladokregistrering, dvs studenter som inte har registrerats på första kurs ht20. </t>
    </r>
  </si>
  <si>
    <t>Utfördelas per månad fr o m september 2020</t>
  </si>
  <si>
    <t>NY fr o m 2020</t>
  </si>
  <si>
    <t>2650 Summa</t>
  </si>
  <si>
    <t>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</si>
</sst>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00"/>
    <numFmt numFmtId="167" formatCode="#,##0_ ;[Red]\-#,##0\ "/>
    <numFmt numFmtId="168" formatCode="#,##0&quot; tkr&quot;"/>
    <numFmt numFmtId="169" formatCode="#,##0&quot; tkr&quot;;[Red]\-#,##0&quot; tkr&quot;"/>
    <numFmt numFmtId="170" formatCode="#,##0,&quot; tkr&quot;;[Red]\-#,##0,&quot; tkr&quot;"/>
    <numFmt numFmtId="171" formatCode="#,##0.0_ ;[Red]\-#,##0.0\ "/>
    <numFmt numFmtId="172" formatCode="0.0%"/>
    <numFmt numFmtId="173" formatCode="#,##0.000"/>
  </numFmts>
  <fonts count="65"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b/>
      <sz val="11"/>
      <name val="Times New Roman"/>
      <family val="1"/>
    </font>
    <font>
      <b/>
      <sz val="16"/>
      <name val="Times New Roman"/>
      <family val="1"/>
    </font>
    <font>
      <sz val="12"/>
      <name val="Times New Roman"/>
      <family val="1"/>
    </font>
    <font>
      <b/>
      <sz val="12"/>
      <name val="Times New Roman"/>
      <family val="1"/>
    </font>
    <font>
      <sz val="11"/>
      <name val="Times New Roman"/>
      <family val="1"/>
    </font>
    <font>
      <i/>
      <sz val="11"/>
      <name val="Times New Roman"/>
      <family val="1"/>
    </font>
    <font>
      <sz val="8"/>
      <name val="Times New Roman"/>
      <family val="1"/>
    </font>
    <font>
      <b/>
      <sz val="10"/>
      <name val="Arial"/>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
      <name val="Arial"/>
      <family val="2"/>
    </font>
    <font>
      <sz val="12"/>
      <name val="Arial"/>
      <family val="2"/>
    </font>
    <font>
      <b/>
      <sz val="12"/>
      <name val="Arial"/>
      <family val="2"/>
    </font>
    <font>
      <b/>
      <sz val="14"/>
      <name val="Times New Roman"/>
      <family val="1"/>
    </font>
    <font>
      <b/>
      <sz val="10"/>
      <color indexed="81"/>
      <name val="Tahoma"/>
      <family val="2"/>
    </font>
    <font>
      <sz val="8"/>
      <name val="Times New Roman"/>
      <family val="1"/>
    </font>
    <font>
      <sz val="8"/>
      <name val="Times New Roman"/>
      <family val="1"/>
    </font>
    <font>
      <b/>
      <sz val="11"/>
      <color theme="1"/>
      <name val="Calibri"/>
      <family val="2"/>
      <scheme val="minor"/>
    </font>
    <font>
      <b/>
      <sz val="12"/>
      <color rgb="FF0070C0"/>
      <name val="Times New Roman"/>
      <family val="1"/>
    </font>
    <font>
      <sz val="10"/>
      <name val="Garamond"/>
      <family val="1"/>
    </font>
    <font>
      <sz val="11"/>
      <color theme="1"/>
      <name val="Times New Roman"/>
      <family val="1"/>
    </font>
    <font>
      <b/>
      <sz val="11"/>
      <color theme="0"/>
      <name val="Times New Roman"/>
      <family val="1"/>
    </font>
    <font>
      <i/>
      <sz val="11"/>
      <color theme="1"/>
      <name val="Garamond"/>
      <family val="1"/>
    </font>
    <font>
      <b/>
      <i/>
      <sz val="11"/>
      <color theme="1"/>
      <name val="Calibri"/>
      <family val="2"/>
      <scheme val="minor"/>
    </font>
    <font>
      <b/>
      <sz val="11"/>
      <color theme="0"/>
      <name val="Garamond"/>
      <family val="1"/>
    </font>
    <font>
      <b/>
      <sz val="12"/>
      <color theme="0"/>
      <name val="Calibri"/>
      <family val="2"/>
    </font>
    <font>
      <b/>
      <sz val="12"/>
      <color theme="1"/>
      <name val="Calibri"/>
      <family val="2"/>
      <scheme val="minor"/>
    </font>
    <font>
      <u/>
      <sz val="11"/>
      <color theme="10"/>
      <name val="Times New Roman"/>
      <family val="1"/>
    </font>
    <font>
      <sz val="11"/>
      <name val="Wingdings"/>
      <charset val="2"/>
    </font>
    <font>
      <sz val="9"/>
      <color indexed="81"/>
      <name val="Tahoma"/>
      <family val="2"/>
    </font>
    <font>
      <b/>
      <sz val="9"/>
      <color indexed="81"/>
      <name val="Tahoma"/>
      <family val="2"/>
    </font>
    <font>
      <b/>
      <i/>
      <sz val="11"/>
      <name val="Times New Roman"/>
      <family val="1"/>
    </font>
    <font>
      <sz val="11"/>
      <color rgb="FFFF0000"/>
      <name val="Times New Roman"/>
      <family val="1"/>
    </font>
    <font>
      <sz val="14"/>
      <name val="Times New Roman"/>
      <family val="1"/>
    </font>
    <font>
      <u/>
      <sz val="11"/>
      <color theme="11"/>
      <name val="Times New Roman"/>
      <family val="1"/>
    </font>
    <font>
      <sz val="12"/>
      <color rgb="FF000000"/>
      <name val="Calibri"/>
      <family val="2"/>
    </font>
    <font>
      <sz val="11"/>
      <color theme="1"/>
      <name val="Times New Roman"/>
      <family val="1"/>
    </font>
    <font>
      <sz val="12"/>
      <color rgb="FFFF0000"/>
      <name val="Times New Roman"/>
      <family val="1"/>
    </font>
    <font>
      <i/>
      <sz val="12"/>
      <name val="Times New Roman"/>
      <family val="1"/>
    </font>
    <font>
      <b/>
      <sz val="11"/>
      <name val="Times New Roman"/>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42"/>
        <bgColor indexed="64"/>
      </patternFill>
    </fill>
    <fill>
      <patternFill patternType="solid">
        <fgColor rgb="FFFFD653"/>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CCFFFF"/>
        <bgColor indexed="64"/>
      </patternFill>
    </fill>
    <fill>
      <patternFill patternType="solid">
        <fgColor rgb="FF99FFCC"/>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right/>
      <top/>
      <bottom style="thin">
        <color indexed="8"/>
      </bottom>
      <diagonal/>
    </border>
    <border>
      <left style="thick">
        <color theme="5" tint="-0.499984740745262"/>
      </left>
      <right style="thin">
        <color auto="1"/>
      </right>
      <top/>
      <bottom style="thick">
        <color theme="5" tint="-0.499984740745262"/>
      </bottom>
      <diagonal/>
    </border>
    <border>
      <left style="thin">
        <color auto="1"/>
      </left>
      <right style="thin">
        <color auto="1"/>
      </right>
      <top/>
      <bottom style="thick">
        <color theme="5" tint="-0.499984740745262"/>
      </bottom>
      <diagonal/>
    </border>
    <border>
      <left style="thick">
        <color theme="5" tint="-0.499984740745262"/>
      </left>
      <right style="thin">
        <color auto="1"/>
      </right>
      <top style="thick">
        <color theme="5" tint="-0.499984740745262"/>
      </top>
      <bottom style="thin">
        <color auto="1"/>
      </bottom>
      <diagonal/>
    </border>
    <border>
      <left style="medium">
        <color auto="1"/>
      </left>
      <right style="thin">
        <color auto="1"/>
      </right>
      <top style="thick">
        <color theme="5" tint="-0.499984740745262"/>
      </top>
      <bottom style="thin">
        <color auto="1"/>
      </bottom>
      <diagonal/>
    </border>
    <border>
      <left style="medium">
        <color auto="1"/>
      </left>
      <right style="thick">
        <color theme="5" tint="-0.499984740745262"/>
      </right>
      <top style="thick">
        <color theme="5" tint="-0.499984740745262"/>
      </top>
      <bottom style="thin">
        <color auto="1"/>
      </bottom>
      <diagonal/>
    </border>
    <border>
      <left/>
      <right style="thin">
        <color auto="1"/>
      </right>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style="medium">
        <color auto="1"/>
      </left>
      <right style="medium">
        <color auto="1"/>
      </right>
      <top/>
      <bottom style="medium">
        <color auto="1"/>
      </bottom>
      <diagonal/>
    </border>
    <border>
      <left/>
      <right style="thin">
        <color auto="1"/>
      </right>
      <top/>
      <bottom/>
      <diagonal/>
    </border>
    <border>
      <left/>
      <right style="medium">
        <color auto="1"/>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ck">
        <color theme="5" tint="-0.499984740745262"/>
      </top>
      <bottom style="thin">
        <color auto="1"/>
      </bottom>
      <diagonal/>
    </border>
    <border>
      <left/>
      <right style="thin">
        <color auto="1"/>
      </right>
      <top style="thick">
        <color theme="5" tint="-0.499984740745262"/>
      </top>
      <bottom style="thin">
        <color auto="1"/>
      </bottom>
      <diagonal/>
    </border>
    <border>
      <left/>
      <right style="thin">
        <color auto="1"/>
      </right>
      <top/>
      <bottom style="thick">
        <color theme="5"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ck">
        <color auto="1"/>
      </left>
      <right style="thick">
        <color auto="1"/>
      </right>
      <top style="thick">
        <color auto="1"/>
      </top>
      <bottom style="thick">
        <color auto="1"/>
      </bottom>
      <diagonal/>
    </border>
    <border>
      <left style="thin">
        <color auto="1"/>
      </left>
      <right/>
      <top/>
      <bottom/>
      <diagonal/>
    </border>
    <border>
      <left/>
      <right/>
      <top style="thin">
        <color theme="6" tint="0.79998168889431442"/>
      </top>
      <bottom style="thin">
        <color theme="6" tint="0.79998168889431442"/>
      </bottom>
      <diagonal/>
    </border>
    <border>
      <left/>
      <right/>
      <top style="thin">
        <color indexed="64"/>
      </top>
      <bottom/>
      <diagonal/>
    </border>
    <border>
      <left/>
      <right style="thin">
        <color indexed="64"/>
      </right>
      <top style="thin">
        <color indexed="64"/>
      </top>
      <bottom/>
      <diagonal/>
    </border>
    <border>
      <left style="medium">
        <color auto="1"/>
      </left>
      <right/>
      <top style="thin">
        <color indexed="64"/>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medium">
        <color auto="1"/>
      </bottom>
      <diagonal/>
    </border>
    <border>
      <left style="thick">
        <color theme="5" tint="-0.499984740745262"/>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auto="1"/>
      </left>
      <right style="thick">
        <color theme="5" tint="-0.499984740745262"/>
      </right>
      <top style="thin">
        <color auto="1"/>
      </top>
      <bottom style="thin">
        <color auto="1"/>
      </bottom>
      <diagonal/>
    </border>
    <border>
      <left style="thin">
        <color auto="1"/>
      </left>
      <right/>
      <top style="thin">
        <color auto="1"/>
      </top>
      <bottom style="thin">
        <color auto="1"/>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1" applyNumberFormat="0" applyFont="0" applyAlignment="0" applyProtection="0"/>
    <xf numFmtId="0" fontId="20" fillId="17" borderId="2"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0" borderId="0" applyNumberFormat="0" applyFill="0" applyBorder="0" applyAlignment="0" applyProtection="0"/>
    <xf numFmtId="0" fontId="24" fillId="7"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3" borderId="0" applyNumberFormat="0" applyBorder="0" applyAlignment="0" applyProtection="0"/>
    <xf numFmtId="0" fontId="15" fillId="0" borderId="0"/>
    <xf numFmtId="0" fontId="15" fillId="0" borderId="0"/>
    <xf numFmtId="0" fontId="15" fillId="0" borderId="0"/>
    <xf numFmtId="0" fontId="15" fillId="0" borderId="0"/>
    <xf numFmtId="9" fontId="6" fillId="0" borderId="0" applyFont="0" applyFill="0" applyBorder="0" applyAlignment="0" applyProtection="0"/>
    <xf numFmtId="9" fontId="15"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0" fontId="52" fillId="0" borderId="0" applyNumberFormat="0" applyFill="0" applyBorder="0" applyAlignment="0" applyProtection="0">
      <alignment vertical="top"/>
      <protection locked="0"/>
    </xf>
    <xf numFmtId="0" fontId="5"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xf numFmtId="0" fontId="3" fillId="0" borderId="0"/>
    <xf numFmtId="0" fontId="2" fillId="0" borderId="0"/>
  </cellStyleXfs>
  <cellXfs count="437">
    <xf numFmtId="0" fontId="0" fillId="0" borderId="0" xfId="0"/>
    <xf numFmtId="0" fontId="7" fillId="0" borderId="0" xfId="0" applyFont="1"/>
    <xf numFmtId="0" fontId="8" fillId="0" borderId="0" xfId="0" applyFont="1" applyProtection="1"/>
    <xf numFmtId="0" fontId="9" fillId="0" borderId="0" xfId="0" applyFont="1" applyProtection="1"/>
    <xf numFmtId="0" fontId="10" fillId="0" borderId="10" xfId="0" applyFont="1" applyBorder="1" applyAlignment="1" applyProtection="1"/>
    <xf numFmtId="0" fontId="10" fillId="0" borderId="0" xfId="0" applyFont="1" applyProtection="1"/>
    <xf numFmtId="0" fontId="11" fillId="0" borderId="0" xfId="0" applyFont="1" applyProtection="1"/>
    <xf numFmtId="0" fontId="9" fillId="0" borderId="0" xfId="0" applyFont="1" applyFill="1" applyProtection="1"/>
    <xf numFmtId="0" fontId="11" fillId="0" borderId="0" xfId="0" applyFont="1" applyFill="1" applyProtection="1"/>
    <xf numFmtId="0" fontId="0" fillId="0" borderId="0" xfId="0" applyFill="1" applyBorder="1" applyProtection="1"/>
    <xf numFmtId="0" fontId="10" fillId="0" borderId="0" xfId="0" applyFont="1" applyFill="1" applyProtection="1"/>
    <xf numFmtId="0" fontId="17" fillId="0" borderId="0" xfId="0" applyFont="1" applyBorder="1"/>
    <xf numFmtId="0" fontId="17" fillId="0" borderId="0" xfId="0" applyFont="1" applyFill="1" applyBorder="1"/>
    <xf numFmtId="0" fontId="14" fillId="0" borderId="0" xfId="0" applyFont="1" applyBorder="1"/>
    <xf numFmtId="0" fontId="0" fillId="0" borderId="0" xfId="0" applyBorder="1" applyAlignment="1">
      <alignment horizontal="left"/>
    </xf>
    <xf numFmtId="3" fontId="0" fillId="0" borderId="0" xfId="0" applyNumberFormat="1"/>
    <xf numFmtId="0" fontId="7" fillId="0" borderId="10" xfId="0" applyFont="1" applyFill="1" applyBorder="1" applyProtection="1"/>
    <xf numFmtId="0" fontId="7" fillId="0" borderId="0" xfId="0" applyFont="1" applyFill="1" applyProtection="1"/>
    <xf numFmtId="0" fontId="0" fillId="0" borderId="0" xfId="0" applyBorder="1"/>
    <xf numFmtId="9" fontId="0" fillId="0" borderId="0" xfId="0" applyNumberFormat="1"/>
    <xf numFmtId="0" fontId="10" fillId="0" borderId="11" xfId="0" applyFont="1" applyBorder="1" applyAlignment="1" applyProtection="1"/>
    <xf numFmtId="0" fontId="12" fillId="0" borderId="0" xfId="0" applyFont="1" applyFill="1" applyProtection="1"/>
    <xf numFmtId="0" fontId="0" fillId="0" borderId="0" xfId="0" applyFill="1" applyProtection="1"/>
    <xf numFmtId="0" fontId="38" fillId="0" borderId="14" xfId="0" applyFont="1" applyFill="1" applyBorder="1" applyAlignment="1" applyProtection="1">
      <alignment horizontal="center"/>
    </xf>
    <xf numFmtId="0" fontId="11" fillId="0" borderId="0" xfId="0" applyFont="1" applyBorder="1" applyProtection="1"/>
    <xf numFmtId="0" fontId="6" fillId="0" borderId="0" xfId="0" applyFont="1"/>
    <xf numFmtId="0" fontId="16" fillId="0" borderId="0" xfId="0" applyFont="1" applyFill="1" applyBorder="1"/>
    <xf numFmtId="167" fontId="0" fillId="0" borderId="0" xfId="0" applyNumberFormat="1"/>
    <xf numFmtId="0" fontId="7" fillId="0" borderId="0" xfId="0" applyFont="1" applyBorder="1"/>
    <xf numFmtId="0" fontId="6" fillId="0" borderId="0" xfId="0" applyFont="1" applyAlignment="1">
      <alignment wrapText="1"/>
    </xf>
    <xf numFmtId="0" fontId="0" fillId="0" borderId="0" xfId="0" applyAlignment="1">
      <alignment wrapText="1"/>
    </xf>
    <xf numFmtId="169" fontId="36" fillId="0" borderId="0" xfId="36" applyNumberFormat="1" applyFont="1" applyFill="1" applyBorder="1" applyProtection="1"/>
    <xf numFmtId="0" fontId="0" fillId="0" borderId="0" xfId="0" applyFill="1"/>
    <xf numFmtId="0" fontId="7" fillId="0" borderId="0" xfId="0" applyFont="1" applyFill="1"/>
    <xf numFmtId="0" fontId="38" fillId="0" borderId="0" xfId="0" applyFont="1"/>
    <xf numFmtId="170" fontId="0" fillId="0" borderId="0" xfId="0" applyNumberFormat="1"/>
    <xf numFmtId="170" fontId="7" fillId="0" borderId="15" xfId="0" applyNumberFormat="1" applyFont="1" applyBorder="1"/>
    <xf numFmtId="0" fontId="42" fillId="0" borderId="0" xfId="0" applyFont="1" applyFill="1"/>
    <xf numFmtId="0" fontId="5" fillId="0" borderId="0" xfId="0" applyFont="1"/>
    <xf numFmtId="9" fontId="0" fillId="0" borderId="0" xfId="0" applyNumberFormat="1" applyFill="1"/>
    <xf numFmtId="0" fontId="0" fillId="0" borderId="0" xfId="0" applyNumberFormat="1" applyFill="1"/>
    <xf numFmtId="3" fontId="0" fillId="0" borderId="0" xfId="0" applyNumberFormat="1" applyFill="1"/>
    <xf numFmtId="0" fontId="15" fillId="0" borderId="0" xfId="0" applyFont="1" applyFill="1" applyBorder="1"/>
    <xf numFmtId="0" fontId="5" fillId="0" borderId="0" xfId="0" applyFont="1" applyProtection="1"/>
    <xf numFmtId="3" fontId="44" fillId="0" borderId="0" xfId="0" applyNumberFormat="1" applyFont="1" applyBorder="1" applyAlignment="1">
      <alignment wrapText="1"/>
    </xf>
    <xf numFmtId="3" fontId="44" fillId="0" borderId="0" xfId="0" applyNumberFormat="1" applyFont="1" applyBorder="1"/>
    <xf numFmtId="3" fontId="0" fillId="0" borderId="0" xfId="0" applyNumberFormat="1" applyBorder="1"/>
    <xf numFmtId="9" fontId="0" fillId="0" borderId="0" xfId="38" applyFont="1" applyBorder="1"/>
    <xf numFmtId="0" fontId="15" fillId="0" borderId="0" xfId="37" applyFont="1" applyFill="1" applyBorder="1"/>
    <xf numFmtId="10" fontId="0" fillId="0" borderId="0" xfId="0" applyNumberFormat="1"/>
    <xf numFmtId="0" fontId="46" fillId="26" borderId="24" xfId="0" applyFont="1" applyFill="1" applyBorder="1"/>
    <xf numFmtId="3" fontId="50" fillId="26" borderId="25" xfId="0" applyNumberFormat="1" applyFont="1" applyFill="1" applyBorder="1" applyAlignment="1">
      <alignment wrapText="1"/>
    </xf>
    <xf numFmtId="3" fontId="49" fillId="26" borderId="26" xfId="0" applyNumberFormat="1" applyFont="1" applyFill="1" applyBorder="1" applyAlignment="1">
      <alignment wrapText="1"/>
    </xf>
    <xf numFmtId="3" fontId="49" fillId="26" borderId="27" xfId="0" applyNumberFormat="1" applyFont="1" applyFill="1" applyBorder="1"/>
    <xf numFmtId="3" fontId="49" fillId="26" borderId="27" xfId="0" applyNumberFormat="1" applyFont="1" applyFill="1" applyBorder="1" applyAlignment="1">
      <alignment wrapText="1"/>
    </xf>
    <xf numFmtId="3" fontId="49" fillId="26" borderId="28" xfId="0" applyNumberFormat="1" applyFont="1" applyFill="1" applyBorder="1"/>
    <xf numFmtId="0" fontId="5" fillId="0" borderId="0" xfId="0" applyFont="1" applyFill="1"/>
    <xf numFmtId="0" fontId="15" fillId="0" borderId="0" xfId="0" applyFont="1" applyBorder="1"/>
    <xf numFmtId="0" fontId="0" fillId="0" borderId="10" xfId="0" applyFill="1" applyBorder="1" applyProtection="1"/>
    <xf numFmtId="0" fontId="0" fillId="0" borderId="0" xfId="0" applyFont="1" applyFill="1"/>
    <xf numFmtId="0" fontId="0" fillId="0" borderId="0" xfId="0" pivotButton="1"/>
    <xf numFmtId="0" fontId="5" fillId="0" borderId="0" xfId="0" applyFont="1" applyBorder="1"/>
    <xf numFmtId="3" fontId="5" fillId="0" borderId="0" xfId="0" applyNumberFormat="1" applyFont="1" applyBorder="1"/>
    <xf numFmtId="3" fontId="5" fillId="0" borderId="0" xfId="0" applyNumberFormat="1" applyFont="1" applyFill="1" applyBorder="1"/>
    <xf numFmtId="0" fontId="5" fillId="0" borderId="21" xfId="0" applyFont="1" applyBorder="1"/>
    <xf numFmtId="0" fontId="7" fillId="0" borderId="0" xfId="0" applyFont="1" applyAlignment="1">
      <alignment wrapText="1"/>
    </xf>
    <xf numFmtId="0" fontId="0" fillId="0" borderId="33" xfId="0" applyBorder="1"/>
    <xf numFmtId="170" fontId="0" fillId="0" borderId="0" xfId="0" applyNumberFormat="1" applyBorder="1"/>
    <xf numFmtId="0" fontId="7" fillId="0" borderId="36" xfId="0" applyFont="1" applyBorder="1" applyAlignment="1">
      <alignment wrapText="1"/>
    </xf>
    <xf numFmtId="0" fontId="7" fillId="0" borderId="37" xfId="0" applyFont="1" applyBorder="1"/>
    <xf numFmtId="0" fontId="7" fillId="0" borderId="31" xfId="0" applyFont="1" applyBorder="1"/>
    <xf numFmtId="0" fontId="0" fillId="0" borderId="30" xfId="0" applyBorder="1"/>
    <xf numFmtId="0" fontId="0" fillId="0" borderId="31" xfId="0" applyBorder="1"/>
    <xf numFmtId="0" fontId="38" fillId="0" borderId="16" xfId="0" applyFont="1" applyBorder="1"/>
    <xf numFmtId="0" fontId="38" fillId="0" borderId="36" xfId="0" applyFont="1" applyBorder="1"/>
    <xf numFmtId="0" fontId="0" fillId="0" borderId="36" xfId="0" applyBorder="1"/>
    <xf numFmtId="0" fontId="0" fillId="0" borderId="37" xfId="0" applyBorder="1"/>
    <xf numFmtId="0" fontId="5" fillId="0" borderId="30" xfId="0" applyFont="1" applyBorder="1"/>
    <xf numFmtId="0" fontId="0" fillId="0" borderId="0" xfId="0" applyBorder="1" applyAlignment="1">
      <alignment horizontal="left" indent="1"/>
    </xf>
    <xf numFmtId="0" fontId="0" fillId="0" borderId="32" xfId="0" applyBorder="1"/>
    <xf numFmtId="0" fontId="9" fillId="0" borderId="41" xfId="0" applyFont="1" applyBorder="1" applyProtection="1"/>
    <xf numFmtId="0" fontId="11" fillId="0" borderId="29" xfId="0" applyFont="1" applyBorder="1" applyProtection="1"/>
    <xf numFmtId="0" fontId="11" fillId="0" borderId="35" xfId="0" applyFont="1" applyBorder="1" applyProtection="1"/>
    <xf numFmtId="0" fontId="38" fillId="0" borderId="41" xfId="0" applyFont="1" applyBorder="1" applyProtection="1"/>
    <xf numFmtId="0" fontId="11" fillId="0" borderId="13" xfId="0" applyFont="1" applyBorder="1" applyProtection="1"/>
    <xf numFmtId="164" fontId="11" fillId="0" borderId="0" xfId="0" applyNumberFormat="1" applyFont="1" applyBorder="1" applyProtection="1"/>
    <xf numFmtId="0" fontId="5" fillId="25" borderId="33" xfId="0" applyFont="1" applyFill="1" applyBorder="1" applyProtection="1"/>
    <xf numFmtId="0" fontId="5" fillId="25" borderId="34" xfId="0" applyFont="1" applyFill="1" applyBorder="1" applyProtection="1"/>
    <xf numFmtId="0" fontId="5" fillId="0" borderId="12" xfId="0" applyFont="1" applyBorder="1" applyProtection="1"/>
    <xf numFmtId="168" fontId="36" fillId="0" borderId="38" xfId="36" applyNumberFormat="1" applyFont="1" applyFill="1" applyBorder="1" applyProtection="1"/>
    <xf numFmtId="0" fontId="7" fillId="0" borderId="17" xfId="0" applyFont="1" applyBorder="1" applyProtection="1"/>
    <xf numFmtId="0" fontId="5" fillId="0" borderId="20"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170" fontId="7" fillId="0" borderId="17" xfId="0" applyNumberFormat="1" applyFont="1" applyBorder="1"/>
    <xf numFmtId="3" fontId="0" fillId="0" borderId="32" xfId="0" applyNumberFormat="1" applyBorder="1"/>
    <xf numFmtId="0" fontId="5" fillId="0" borderId="0" xfId="0" applyFont="1" applyBorder="1" applyProtection="1"/>
    <xf numFmtId="49" fontId="35" fillId="0" borderId="0" xfId="34" applyNumberFormat="1" applyFont="1" applyFill="1" applyAlignment="1">
      <alignment horizontal="left" vertical="center" wrapText="1"/>
    </xf>
    <xf numFmtId="49" fontId="35" fillId="0" borderId="0" xfId="34" applyNumberFormat="1" applyFont="1" applyFill="1" applyAlignment="1">
      <alignment vertical="center" wrapText="1"/>
    </xf>
    <xf numFmtId="0" fontId="35" fillId="0" borderId="0" xfId="34" applyFont="1" applyFill="1" applyAlignment="1">
      <alignment vertical="center" wrapText="1"/>
    </xf>
    <xf numFmtId="0" fontId="53" fillId="0" borderId="0" xfId="0" applyFont="1" applyFill="1" applyProtection="1"/>
    <xf numFmtId="0" fontId="0" fillId="0" borderId="38" xfId="0" applyBorder="1"/>
    <xf numFmtId="0" fontId="0" fillId="0" borderId="44" xfId="0" applyBorder="1"/>
    <xf numFmtId="3" fontId="36" fillId="0" borderId="0" xfId="36" applyNumberFormat="1" applyFont="1" applyFill="1" applyBorder="1" applyProtection="1"/>
    <xf numFmtId="164" fontId="11" fillId="0" borderId="45" xfId="0" applyNumberFormat="1" applyFont="1" applyBorder="1" applyProtection="1"/>
    <xf numFmtId="3" fontId="49" fillId="26" borderId="49" xfId="0" applyNumberFormat="1" applyFont="1" applyFill="1" applyBorder="1"/>
    <xf numFmtId="3" fontId="49" fillId="26" borderId="50" xfId="0" applyNumberFormat="1" applyFont="1" applyFill="1" applyBorder="1" applyAlignment="1">
      <alignment wrapText="1"/>
    </xf>
    <xf numFmtId="0" fontId="46" fillId="26" borderId="51" xfId="0" applyFont="1" applyFill="1" applyBorder="1"/>
    <xf numFmtId="0" fontId="5" fillId="0" borderId="52" xfId="0" applyFont="1" applyBorder="1"/>
    <xf numFmtId="0" fontId="0" fillId="0" borderId="53" xfId="0" applyBorder="1"/>
    <xf numFmtId="170" fontId="0" fillId="0" borderId="39" xfId="0" applyNumberFormat="1" applyBorder="1"/>
    <xf numFmtId="170" fontId="0" fillId="0" borderId="32" xfId="0" applyNumberFormat="1" applyBorder="1"/>
    <xf numFmtId="170" fontId="0" fillId="0" borderId="40" xfId="0" applyNumberFormat="1" applyBorder="1"/>
    <xf numFmtId="170" fontId="0" fillId="0" borderId="56" xfId="0" applyNumberFormat="1" applyBorder="1"/>
    <xf numFmtId="170" fontId="0" fillId="0" borderId="36" xfId="0" applyNumberFormat="1" applyBorder="1"/>
    <xf numFmtId="170" fontId="0" fillId="0" borderId="57" xfId="0" applyNumberFormat="1" applyBorder="1"/>
    <xf numFmtId="3" fontId="0" fillId="0" borderId="36" xfId="0" applyNumberFormat="1" applyBorder="1"/>
    <xf numFmtId="3" fontId="0" fillId="0" borderId="53" xfId="0" applyNumberFormat="1" applyBorder="1"/>
    <xf numFmtId="3" fontId="0" fillId="0" borderId="54" xfId="0" applyNumberFormat="1" applyBorder="1"/>
    <xf numFmtId="3" fontId="7" fillId="0" borderId="0" xfId="0" applyNumberFormat="1" applyFont="1" applyBorder="1"/>
    <xf numFmtId="3" fontId="0" fillId="0" borderId="40" xfId="0" applyNumberFormat="1" applyBorder="1"/>
    <xf numFmtId="0" fontId="7" fillId="0" borderId="0" xfId="0" applyFont="1" applyBorder="1" applyAlignment="1">
      <alignment wrapText="1"/>
    </xf>
    <xf numFmtId="167" fontId="0" fillId="0" borderId="36" xfId="0" applyNumberFormat="1" applyBorder="1"/>
    <xf numFmtId="167" fontId="0" fillId="0" borderId="0" xfId="0" applyNumberFormat="1" applyBorder="1"/>
    <xf numFmtId="167" fontId="7" fillId="0" borderId="0" xfId="0" applyNumberFormat="1" applyFont="1" applyBorder="1"/>
    <xf numFmtId="0" fontId="7" fillId="0" borderId="16" xfId="0" applyFont="1" applyBorder="1"/>
    <xf numFmtId="0" fontId="7" fillId="0" borderId="36" xfId="0" applyFont="1" applyBorder="1"/>
    <xf numFmtId="0" fontId="7" fillId="0" borderId="56" xfId="0" applyFont="1" applyBorder="1"/>
    <xf numFmtId="3" fontId="7" fillId="0" borderId="36" xfId="0" applyNumberFormat="1" applyFont="1" applyBorder="1"/>
    <xf numFmtId="3" fontId="7" fillId="0" borderId="57" xfId="0" applyNumberFormat="1" applyFont="1" applyBorder="1"/>
    <xf numFmtId="167" fontId="7" fillId="0" borderId="36" xfId="0" applyNumberFormat="1" applyFont="1" applyBorder="1"/>
    <xf numFmtId="3" fontId="0" fillId="0" borderId="31" xfId="0" applyNumberFormat="1" applyBorder="1"/>
    <xf numFmtId="167" fontId="0" fillId="0" borderId="32" xfId="0" applyNumberFormat="1" applyBorder="1"/>
    <xf numFmtId="170" fontId="0" fillId="0" borderId="44" xfId="0" applyNumberFormat="1" applyBorder="1"/>
    <xf numFmtId="170" fontId="7" fillId="0" borderId="46" xfId="0" applyNumberFormat="1" applyFont="1" applyBorder="1"/>
    <xf numFmtId="170" fontId="7" fillId="0" borderId="55" xfId="0" applyNumberFormat="1" applyFont="1" applyBorder="1"/>
    <xf numFmtId="167" fontId="7" fillId="0" borderId="55" xfId="0" applyNumberFormat="1" applyFont="1" applyBorder="1"/>
    <xf numFmtId="3" fontId="7" fillId="0" borderId="55" xfId="0" applyNumberFormat="1" applyFont="1" applyBorder="1"/>
    <xf numFmtId="0" fontId="7" fillId="0" borderId="17" xfId="0" applyFont="1" applyBorder="1"/>
    <xf numFmtId="170" fontId="7" fillId="0" borderId="58" xfId="0" applyNumberFormat="1" applyFont="1" applyBorder="1"/>
    <xf numFmtId="3" fontId="7" fillId="0" borderId="58" xfId="0" applyNumberFormat="1" applyFont="1" applyBorder="1"/>
    <xf numFmtId="0" fontId="5" fillId="0" borderId="48" xfId="0" applyFont="1" applyBorder="1"/>
    <xf numFmtId="0" fontId="0" fillId="0" borderId="47" xfId="0" applyBorder="1"/>
    <xf numFmtId="167" fontId="0" fillId="0" borderId="47" xfId="0" applyNumberFormat="1" applyBorder="1"/>
    <xf numFmtId="167" fontId="0" fillId="0" borderId="59" xfId="0" applyNumberFormat="1" applyBorder="1"/>
    <xf numFmtId="3" fontId="7" fillId="0" borderId="60" xfId="0" applyNumberFormat="1" applyFont="1" applyBorder="1"/>
    <xf numFmtId="170" fontId="7" fillId="0" borderId="18" xfId="0" applyNumberFormat="1" applyFont="1" applyBorder="1"/>
    <xf numFmtId="3" fontId="7" fillId="0" borderId="18" xfId="0" applyNumberFormat="1" applyFont="1" applyBorder="1"/>
    <xf numFmtId="3" fontId="7" fillId="0" borderId="61" xfId="0" applyNumberFormat="1" applyFont="1" applyBorder="1"/>
    <xf numFmtId="170" fontId="0" fillId="0" borderId="37" xfId="0" applyNumberFormat="1" applyBorder="1"/>
    <xf numFmtId="0" fontId="0" fillId="0" borderId="39" xfId="0" applyBorder="1"/>
    <xf numFmtId="0" fontId="0" fillId="0" borderId="40" xfId="0" applyBorder="1"/>
    <xf numFmtId="167" fontId="7" fillId="0" borderId="37" xfId="0" applyNumberFormat="1" applyFont="1" applyBorder="1"/>
    <xf numFmtId="167" fontId="0" fillId="0" borderId="31" xfId="0" applyNumberFormat="1" applyBorder="1"/>
    <xf numFmtId="167" fontId="0" fillId="0" borderId="44" xfId="0" applyNumberFormat="1" applyBorder="1"/>
    <xf numFmtId="167" fontId="7" fillId="0" borderId="31" xfId="0" applyNumberFormat="1" applyFont="1" applyBorder="1"/>
    <xf numFmtId="0" fontId="10" fillId="0" borderId="17" xfId="0" applyFont="1" applyBorder="1"/>
    <xf numFmtId="0" fontId="10" fillId="0" borderId="20" xfId="0" applyFont="1" applyBorder="1"/>
    <xf numFmtId="0" fontId="10" fillId="0" borderId="0" xfId="0" applyFont="1" applyBorder="1" applyAlignment="1" applyProtection="1"/>
    <xf numFmtId="170" fontId="11" fillId="0" borderId="0" xfId="0" applyNumberFormat="1" applyFont="1" applyProtection="1"/>
    <xf numFmtId="170" fontId="36" fillId="0" borderId="42" xfId="36" applyNumberFormat="1" applyFont="1" applyFill="1" applyBorder="1" applyProtection="1"/>
    <xf numFmtId="170" fontId="37" fillId="24" borderId="15" xfId="36" applyNumberFormat="1" applyFont="1" applyFill="1" applyBorder="1" applyProtection="1"/>
    <xf numFmtId="0" fontId="0" fillId="0" borderId="0" xfId="0" pivotButton="1" applyAlignment="1">
      <alignment wrapText="1"/>
    </xf>
    <xf numFmtId="0" fontId="0" fillId="0" borderId="0" xfId="0" applyFill="1" applyBorder="1"/>
    <xf numFmtId="49" fontId="38" fillId="29" borderId="0" xfId="0" applyNumberFormat="1" applyFont="1" applyFill="1"/>
    <xf numFmtId="0" fontId="56" fillId="0" borderId="0" xfId="0" applyFont="1"/>
    <xf numFmtId="0" fontId="7" fillId="0" borderId="0" xfId="0" applyFont="1" applyAlignment="1">
      <alignment vertical="center" wrapText="1"/>
    </xf>
    <xf numFmtId="167" fontId="57" fillId="0" borderId="0" xfId="0" applyNumberFormat="1" applyFont="1" applyBorder="1"/>
    <xf numFmtId="167" fontId="0" fillId="0" borderId="0" xfId="0" applyNumberFormat="1" applyFill="1" applyBorder="1"/>
    <xf numFmtId="49" fontId="35" fillId="0" borderId="0" xfId="34" applyNumberFormat="1" applyFont="1" applyFill="1" applyAlignment="1" applyProtection="1">
      <alignment vertical="center" wrapText="1"/>
      <protection locked="0"/>
    </xf>
    <xf numFmtId="164" fontId="35" fillId="0" borderId="0" xfId="34" applyNumberFormat="1" applyFont="1" applyFill="1" applyAlignment="1" applyProtection="1">
      <alignment horizontal="right" vertical="center" wrapText="1"/>
      <protection locked="0"/>
    </xf>
    <xf numFmtId="49" fontId="35" fillId="0" borderId="0" xfId="34" applyNumberFormat="1" applyFont="1" applyFill="1" applyAlignment="1" applyProtection="1">
      <alignment horizontal="left" vertical="center" wrapText="1"/>
      <protection locked="0"/>
    </xf>
    <xf numFmtId="0" fontId="35" fillId="0" borderId="0" xfId="34" applyFont="1" applyFill="1" applyBorder="1" applyAlignment="1" applyProtection="1">
      <alignment vertical="center" wrapText="1"/>
      <protection locked="0"/>
    </xf>
    <xf numFmtId="3" fontId="35" fillId="0" borderId="0" xfId="34" applyNumberFormat="1" applyFont="1" applyFill="1" applyBorder="1" applyAlignment="1" applyProtection="1">
      <alignment horizontal="right" vertical="center" wrapText="1"/>
      <protection locked="0"/>
    </xf>
    <xf numFmtId="0" fontId="35" fillId="0" borderId="0" xfId="34" applyNumberFormat="1" applyFont="1" applyFill="1" applyAlignment="1" applyProtection="1">
      <alignment horizontal="left" vertical="center" wrapText="1"/>
      <protection locked="0"/>
    </xf>
    <xf numFmtId="165" fontId="35" fillId="0" borderId="0" xfId="34" applyNumberFormat="1" applyFont="1" applyFill="1" applyAlignment="1" applyProtection="1">
      <alignment horizontal="left" vertical="center" wrapText="1"/>
      <protection locked="0"/>
    </xf>
    <xf numFmtId="0" fontId="35" fillId="0" borderId="0" xfId="34" applyFont="1" applyFill="1" applyAlignment="1" applyProtection="1">
      <alignment vertical="center" wrapText="1"/>
      <protection locked="0"/>
    </xf>
    <xf numFmtId="3" fontId="35" fillId="0" borderId="0" xfId="34" applyNumberFormat="1"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42" fillId="0" borderId="0" xfId="0" applyFont="1" applyFill="1" applyAlignment="1" applyProtection="1">
      <alignment vertical="center" wrapText="1"/>
      <protection locked="0"/>
    </xf>
    <xf numFmtId="164" fontId="11" fillId="0" borderId="62" xfId="0" applyNumberFormat="1" applyFont="1" applyBorder="1" applyProtection="1"/>
    <xf numFmtId="0" fontId="43" fillId="0" borderId="42" xfId="0" applyFont="1" applyFill="1" applyBorder="1" applyAlignment="1" applyProtection="1">
      <alignment horizontal="center"/>
    </xf>
    <xf numFmtId="0" fontId="43" fillId="25" borderId="64" xfId="0" applyFont="1" applyFill="1" applyBorder="1" applyAlignment="1" applyProtection="1">
      <alignment horizontal="center"/>
      <protection locked="0"/>
    </xf>
    <xf numFmtId="167" fontId="5" fillId="0" borderId="0" xfId="0" applyNumberFormat="1" applyFont="1" applyBorder="1"/>
    <xf numFmtId="0" fontId="10" fillId="0" borderId="38" xfId="0" applyFont="1" applyBorder="1" applyProtection="1"/>
    <xf numFmtId="0" fontId="0" fillId="0" borderId="66" xfId="0" applyFont="1" applyBorder="1"/>
    <xf numFmtId="0" fontId="5" fillId="0" borderId="0" xfId="0" applyFont="1" applyFill="1" applyBorder="1"/>
    <xf numFmtId="0" fontId="0" fillId="0" borderId="66" xfId="0" applyFill="1" applyBorder="1" applyProtection="1"/>
    <xf numFmtId="0" fontId="7" fillId="0" borderId="69" xfId="0" applyFont="1" applyBorder="1"/>
    <xf numFmtId="0" fontId="7" fillId="0" borderId="67" xfId="0" applyFont="1" applyBorder="1"/>
    <xf numFmtId="0" fontId="7" fillId="0" borderId="68" xfId="0" applyFont="1" applyBorder="1"/>
    <xf numFmtId="0" fontId="7" fillId="0" borderId="0" xfId="0" applyFont="1" applyFill="1" applyBorder="1" applyAlignment="1">
      <alignment horizontal="center" wrapText="1"/>
    </xf>
    <xf numFmtId="170" fontId="0" fillId="0" borderId="0" xfId="0" applyNumberFormat="1" applyFill="1" applyBorder="1"/>
    <xf numFmtId="167" fontId="5" fillId="0" borderId="0" xfId="0" applyNumberFormat="1" applyFont="1" applyFill="1" applyBorder="1"/>
    <xf numFmtId="170" fontId="0" fillId="0" borderId="65" xfId="0" applyNumberFormat="1" applyBorder="1"/>
    <xf numFmtId="3" fontId="0" fillId="0" borderId="70" xfId="0" applyNumberFormat="1" applyBorder="1"/>
    <xf numFmtId="0" fontId="7" fillId="0" borderId="65" xfId="0" applyFont="1" applyBorder="1"/>
    <xf numFmtId="3" fontId="7" fillId="0" borderId="70" xfId="0" applyNumberFormat="1" applyFont="1" applyBorder="1"/>
    <xf numFmtId="0" fontId="61" fillId="0" borderId="0" xfId="0" applyFont="1" applyBorder="1"/>
    <xf numFmtId="0" fontId="0" fillId="0" borderId="65" xfId="0" applyBorder="1"/>
    <xf numFmtId="167" fontId="9" fillId="0" borderId="0" xfId="0" applyNumberFormat="1" applyFont="1" applyBorder="1" applyProtection="1"/>
    <xf numFmtId="167" fontId="9" fillId="0" borderId="43" xfId="0" applyNumberFormat="1" applyFont="1" applyBorder="1" applyProtection="1"/>
    <xf numFmtId="167" fontId="9" fillId="0" borderId="62" xfId="0" applyNumberFormat="1" applyFont="1" applyBorder="1" applyProtection="1"/>
    <xf numFmtId="167" fontId="11" fillId="0" borderId="0" xfId="0" applyNumberFormat="1" applyFont="1" applyBorder="1" applyProtection="1"/>
    <xf numFmtId="167" fontId="11" fillId="0" borderId="29" xfId="0" applyNumberFormat="1" applyFont="1" applyBorder="1" applyProtection="1"/>
    <xf numFmtId="0" fontId="0" fillId="29" borderId="0" xfId="0" applyFill="1"/>
    <xf numFmtId="0" fontId="0" fillId="0" borderId="71" xfId="0" applyFill="1" applyBorder="1"/>
    <xf numFmtId="0" fontId="7" fillId="0" borderId="0" xfId="0" applyFont="1" applyFill="1" applyBorder="1"/>
    <xf numFmtId="0" fontId="9" fillId="0" borderId="0" xfId="0" applyFont="1" applyBorder="1"/>
    <xf numFmtId="0" fontId="9" fillId="0" borderId="0" xfId="0" applyFont="1" applyBorder="1" applyAlignment="1">
      <alignment horizontal="left" indent="1"/>
    </xf>
    <xf numFmtId="167" fontId="9" fillId="0" borderId="0" xfId="0" applyNumberFormat="1" applyFont="1"/>
    <xf numFmtId="0" fontId="9" fillId="0" borderId="0" xfId="0" applyFont="1"/>
    <xf numFmtId="0" fontId="9" fillId="0" borderId="0" xfId="0" applyFont="1" applyFill="1" applyBorder="1" applyAlignment="1">
      <alignment horizontal="left" indent="1"/>
    </xf>
    <xf numFmtId="167" fontId="63" fillId="0" borderId="0" xfId="0" applyNumberFormat="1" applyFont="1"/>
    <xf numFmtId="0" fontId="63" fillId="0" borderId="0" xfId="0" applyFont="1"/>
    <xf numFmtId="0" fontId="9" fillId="0" borderId="0" xfId="0" applyFont="1" applyFill="1"/>
    <xf numFmtId="167" fontId="9" fillId="0" borderId="0" xfId="0" applyNumberFormat="1" applyFont="1" applyFill="1"/>
    <xf numFmtId="167" fontId="63" fillId="0" borderId="0" xfId="0" applyNumberFormat="1" applyFont="1" applyFill="1"/>
    <xf numFmtId="167" fontId="10" fillId="0" borderId="0" xfId="0" applyNumberFormat="1" applyFont="1" applyBorder="1"/>
    <xf numFmtId="167" fontId="9" fillId="0" borderId="0" xfId="0" applyNumberFormat="1" applyFont="1" applyBorder="1"/>
    <xf numFmtId="0" fontId="0" fillId="0" borderId="71" xfId="0" applyFont="1" applyBorder="1"/>
    <xf numFmtId="0" fontId="0" fillId="0" borderId="71" xfId="0" applyFill="1" applyBorder="1" applyProtection="1"/>
    <xf numFmtId="0" fontId="0" fillId="0" borderId="0" xfId="0" applyFont="1" applyFill="1" applyBorder="1"/>
    <xf numFmtId="165" fontId="0" fillId="0" borderId="0" xfId="0" applyNumberFormat="1"/>
    <xf numFmtId="0" fontId="15" fillId="0" borderId="0" xfId="36" applyBorder="1"/>
    <xf numFmtId="0" fontId="58" fillId="0" borderId="41" xfId="0" applyFont="1" applyBorder="1" applyProtection="1"/>
    <xf numFmtId="0" fontId="58" fillId="0" borderId="63" xfId="0" applyFont="1" applyBorder="1" applyProtection="1"/>
    <xf numFmtId="2" fontId="0" fillId="0" borderId="0" xfId="0" applyNumberFormat="1" applyFill="1"/>
    <xf numFmtId="0" fontId="0" fillId="0" borderId="73" xfId="0" applyFill="1" applyBorder="1" applyProtection="1"/>
    <xf numFmtId="0" fontId="7" fillId="0" borderId="73" xfId="0" applyFont="1" applyFill="1" applyBorder="1" applyProtection="1"/>
    <xf numFmtId="172" fontId="0" fillId="0" borderId="0" xfId="0" applyNumberFormat="1"/>
    <xf numFmtId="0" fontId="0" fillId="30" borderId="0" xfId="0" applyFill="1"/>
    <xf numFmtId="0" fontId="5" fillId="30" borderId="0" xfId="0" applyFont="1" applyFill="1"/>
    <xf numFmtId="3" fontId="0" fillId="30" borderId="0" xfId="0" applyNumberFormat="1" applyFill="1"/>
    <xf numFmtId="4" fontId="0" fillId="30" borderId="0" xfId="0" applyNumberFormat="1" applyFill="1"/>
    <xf numFmtId="166" fontId="0" fillId="0" borderId="0" xfId="0" applyNumberFormat="1" applyFill="1"/>
    <xf numFmtId="4" fontId="0" fillId="0" borderId="0" xfId="0" applyNumberFormat="1" applyFill="1"/>
    <xf numFmtId="0" fontId="9" fillId="0" borderId="0" xfId="0" applyFont="1" applyFill="1" applyBorder="1"/>
    <xf numFmtId="0" fontId="0" fillId="0" borderId="75" xfId="0" applyBorder="1"/>
    <xf numFmtId="0" fontId="0" fillId="0" borderId="0" xfId="0" applyFill="1" applyAlignment="1">
      <alignment horizontal="left"/>
    </xf>
    <xf numFmtId="0" fontId="5" fillId="0" borderId="0" xfId="0" applyFont="1" applyFill="1" applyAlignment="1">
      <alignment horizontal="left"/>
    </xf>
    <xf numFmtId="0" fontId="15" fillId="0" borderId="0" xfId="0" applyFont="1" applyFill="1"/>
    <xf numFmtId="0" fontId="0" fillId="0" borderId="76" xfId="0" applyFont="1" applyBorder="1"/>
    <xf numFmtId="0" fontId="0" fillId="0" borderId="76" xfId="0" applyFill="1" applyBorder="1" applyProtection="1"/>
    <xf numFmtId="0" fontId="17" fillId="29" borderId="0" xfId="0" applyFont="1" applyFill="1" applyBorder="1"/>
    <xf numFmtId="0" fontId="56" fillId="0" borderId="0" xfId="0" applyFont="1" applyBorder="1"/>
    <xf numFmtId="3" fontId="0" fillId="0" borderId="0" xfId="0" applyNumberFormat="1" applyFill="1" applyBorder="1"/>
    <xf numFmtId="0" fontId="58" fillId="0" borderId="0" xfId="0" applyFont="1" applyAlignment="1">
      <alignment vertical="center" wrapText="1"/>
    </xf>
    <xf numFmtId="0" fontId="38" fillId="0" borderId="0" xfId="0" applyFont="1" applyAlignment="1">
      <alignment vertical="center"/>
    </xf>
    <xf numFmtId="0" fontId="0" fillId="0" borderId="0" xfId="0" applyAlignment="1">
      <alignment vertical="center"/>
    </xf>
    <xf numFmtId="0" fontId="52" fillId="0" borderId="0" xfId="48" applyAlignment="1" applyProtection="1">
      <alignment vertical="center"/>
    </xf>
    <xf numFmtId="0" fontId="5" fillId="0" borderId="0" xfId="0" applyFont="1" applyAlignment="1">
      <alignment vertical="center"/>
    </xf>
    <xf numFmtId="167" fontId="12" fillId="0" borderId="0" xfId="0" applyNumberFormat="1" applyFont="1" applyBorder="1"/>
    <xf numFmtId="0" fontId="56" fillId="0" borderId="0" xfId="0" applyFont="1" applyBorder="1" applyAlignment="1">
      <alignment wrapText="1"/>
    </xf>
    <xf numFmtId="0" fontId="60" fillId="0" borderId="76" xfId="0" applyFont="1" applyFill="1" applyBorder="1"/>
    <xf numFmtId="0" fontId="42" fillId="0" borderId="0" xfId="0" applyFont="1" applyFill="1" applyBorder="1"/>
    <xf numFmtId="0" fontId="60" fillId="0" borderId="71" xfId="0" applyFont="1" applyFill="1" applyBorder="1"/>
    <xf numFmtId="0" fontId="0" fillId="0" borderId="0" xfId="0" applyFill="1" applyBorder="1" applyAlignment="1">
      <alignment horizontal="left"/>
    </xf>
    <xf numFmtId="0" fontId="60" fillId="0" borderId="0" xfId="0" applyFont="1" applyFill="1" applyBorder="1"/>
    <xf numFmtId="167" fontId="37" fillId="24" borderId="19" xfId="36" applyNumberFormat="1" applyFont="1" applyFill="1" applyBorder="1" applyProtection="1"/>
    <xf numFmtId="167" fontId="37" fillId="0" borderId="19" xfId="36" applyNumberFormat="1" applyFont="1" applyFill="1" applyBorder="1" applyProtection="1"/>
    <xf numFmtId="164" fontId="5" fillId="0" borderId="0" xfId="0" applyNumberFormat="1" applyFont="1" applyProtection="1"/>
    <xf numFmtId="170" fontId="5" fillId="0" borderId="0" xfId="0" applyNumberFormat="1" applyFont="1" applyProtection="1"/>
    <xf numFmtId="167" fontId="14" fillId="24" borderId="15" xfId="36" applyNumberFormat="1" applyFont="1" applyFill="1" applyBorder="1" applyProtection="1"/>
    <xf numFmtId="0" fontId="52" fillId="0" borderId="0" xfId="48" applyAlignment="1" applyProtection="1"/>
    <xf numFmtId="0" fontId="7" fillId="0" borderId="76" xfId="0" applyFont="1" applyBorder="1"/>
    <xf numFmtId="49" fontId="5" fillId="0" borderId="76" xfId="0" applyNumberFormat="1" applyFont="1" applyBorder="1"/>
    <xf numFmtId="0" fontId="5" fillId="0" borderId="76" xfId="36" applyFont="1" applyFill="1" applyBorder="1"/>
    <xf numFmtId="49" fontId="45" fillId="0" borderId="76" xfId="0" applyNumberFormat="1" applyFont="1" applyBorder="1"/>
    <xf numFmtId="49" fontId="5" fillId="0" borderId="76" xfId="36" applyNumberFormat="1" applyFont="1" applyBorder="1"/>
    <xf numFmtId="0" fontId="5" fillId="0" borderId="76" xfId="36" applyFont="1" applyBorder="1"/>
    <xf numFmtId="49" fontId="5" fillId="0" borderId="76" xfId="36" applyNumberFormat="1" applyFont="1" applyFill="1" applyBorder="1"/>
    <xf numFmtId="0" fontId="5" fillId="0" borderId="0" xfId="36" applyFont="1" applyBorder="1"/>
    <xf numFmtId="0" fontId="0" fillId="0" borderId="78" xfId="0" applyFill="1" applyBorder="1" applyProtection="1"/>
    <xf numFmtId="2" fontId="0" fillId="0" borderId="0" xfId="0" applyNumberFormat="1"/>
    <xf numFmtId="0" fontId="0" fillId="0" borderId="78" xfId="0" applyFont="1" applyBorder="1"/>
    <xf numFmtId="0" fontId="0" fillId="0" borderId="78" xfId="0" applyFill="1" applyBorder="1" applyAlignment="1">
      <alignment horizontal="left"/>
    </xf>
    <xf numFmtId="0" fontId="0" fillId="0" borderId="0" xfId="0" applyAlignment="1">
      <alignment wrapText="1"/>
    </xf>
    <xf numFmtId="10" fontId="0" fillId="0" borderId="0" xfId="0" applyNumberFormat="1" applyFill="1"/>
    <xf numFmtId="0" fontId="0" fillId="0" borderId="74" xfId="0" applyFont="1" applyFill="1" applyBorder="1" applyProtection="1"/>
    <xf numFmtId="49" fontId="5" fillId="0" borderId="78" xfId="36" applyNumberFormat="1" applyFont="1" applyFill="1" applyBorder="1"/>
    <xf numFmtId="0" fontId="5" fillId="0" borderId="78" xfId="36" applyFont="1" applyBorder="1"/>
    <xf numFmtId="164" fontId="0" fillId="0" borderId="0" xfId="0" applyNumberFormat="1"/>
    <xf numFmtId="170" fontId="0" fillId="0" borderId="77" xfId="0" applyNumberFormat="1" applyBorder="1"/>
    <xf numFmtId="170" fontId="7" fillId="0" borderId="72" xfId="0" applyNumberFormat="1" applyFont="1" applyBorder="1"/>
    <xf numFmtId="170" fontId="7" fillId="0" borderId="40" xfId="0" applyNumberFormat="1" applyFont="1" applyBorder="1"/>
    <xf numFmtId="167" fontId="7" fillId="0" borderId="79" xfId="0" applyNumberFormat="1" applyFont="1" applyBorder="1"/>
    <xf numFmtId="170" fontId="7" fillId="0" borderId="20" xfId="0" applyNumberFormat="1" applyFont="1" applyBorder="1"/>
    <xf numFmtId="0" fontId="58" fillId="31" borderId="0" xfId="0" applyFont="1" applyFill="1" applyAlignment="1">
      <alignment vertical="center" wrapText="1"/>
    </xf>
    <xf numFmtId="170" fontId="10" fillId="0" borderId="46" xfId="0" applyNumberFormat="1" applyFont="1" applyBorder="1"/>
    <xf numFmtId="170" fontId="10" fillId="0" borderId="55" xfId="0" applyNumberFormat="1" applyFont="1" applyBorder="1"/>
    <xf numFmtId="167" fontId="10" fillId="0" borderId="55" xfId="0" applyNumberFormat="1" applyFont="1" applyBorder="1"/>
    <xf numFmtId="167" fontId="10" fillId="0" borderId="79" xfId="0" applyNumberFormat="1" applyFont="1" applyBorder="1"/>
    <xf numFmtId="173" fontId="0" fillId="30" borderId="0" xfId="0" applyNumberFormat="1" applyFill="1"/>
    <xf numFmtId="0" fontId="0" fillId="0" borderId="0" xfId="0" applyFill="1" applyBorder="1" applyAlignment="1">
      <alignment horizontal="left" indent="1"/>
    </xf>
    <xf numFmtId="0" fontId="5" fillId="0" borderId="0" xfId="0" applyFont="1" applyAlignment="1">
      <alignment wrapText="1"/>
    </xf>
    <xf numFmtId="0" fontId="0" fillId="0" borderId="72" xfId="0" applyFill="1" applyBorder="1" applyProtection="1"/>
    <xf numFmtId="0" fontId="5" fillId="0" borderId="78" xfId="0" applyFont="1" applyFill="1" applyBorder="1" applyProtection="1"/>
    <xf numFmtId="0" fontId="5" fillId="0" borderId="0" xfId="0" applyFont="1" applyFill="1" applyBorder="1" applyProtection="1"/>
    <xf numFmtId="0" fontId="46" fillId="26" borderId="80" xfId="0" applyFont="1" applyFill="1" applyBorder="1"/>
    <xf numFmtId="0" fontId="46" fillId="26" borderId="81" xfId="0" applyFont="1" applyFill="1" applyBorder="1"/>
    <xf numFmtId="0" fontId="42" fillId="26" borderId="80" xfId="0" applyFont="1" applyFill="1" applyBorder="1"/>
    <xf numFmtId="0" fontId="42" fillId="26" borderId="81" xfId="0" applyFont="1" applyFill="1" applyBorder="1"/>
    <xf numFmtId="0" fontId="48" fillId="26" borderId="80" xfId="0" applyFont="1" applyFill="1" applyBorder="1"/>
    <xf numFmtId="0" fontId="48" fillId="26" borderId="81" xfId="0" applyFont="1" applyFill="1" applyBorder="1"/>
    <xf numFmtId="0" fontId="0" fillId="0" borderId="74" xfId="0" applyFill="1" applyBorder="1" applyProtection="1"/>
    <xf numFmtId="0" fontId="5" fillId="0" borderId="0" xfId="0" applyFont="1" applyFill="1" applyBorder="1" applyAlignment="1">
      <alignment horizontal="left"/>
    </xf>
    <xf numFmtId="0" fontId="0" fillId="0" borderId="82" xfId="0" applyBorder="1"/>
    <xf numFmtId="0" fontId="0" fillId="0" borderId="82" xfId="0" pivotButton="1" applyBorder="1"/>
    <xf numFmtId="0" fontId="0" fillId="0" borderId="83" xfId="0" applyBorder="1"/>
    <xf numFmtId="0" fontId="0" fillId="0" borderId="84" xfId="0" applyBorder="1"/>
    <xf numFmtId="0" fontId="0" fillId="0" borderId="85" xfId="0" applyBorder="1"/>
    <xf numFmtId="0" fontId="0" fillId="0" borderId="86" xfId="0" applyBorder="1"/>
    <xf numFmtId="2" fontId="0" fillId="0" borderId="82" xfId="0" applyNumberFormat="1" applyBorder="1"/>
    <xf numFmtId="2" fontId="0" fillId="0" borderId="85" xfId="0" applyNumberFormat="1" applyBorder="1"/>
    <xf numFmtId="3" fontId="0" fillId="0" borderId="86" xfId="0" applyNumberFormat="1" applyBorder="1"/>
    <xf numFmtId="0" fontId="0" fillId="0" borderId="87" xfId="0" applyBorder="1"/>
    <xf numFmtId="2" fontId="0" fillId="0" borderId="87" xfId="0" applyNumberFormat="1" applyBorder="1"/>
    <xf numFmtId="3" fontId="0" fillId="0" borderId="88" xfId="0" applyNumberFormat="1" applyBorder="1"/>
    <xf numFmtId="0" fontId="0" fillId="0" borderId="89" xfId="0" applyBorder="1"/>
    <xf numFmtId="2" fontId="0" fillId="0" borderId="89" xfId="0" applyNumberFormat="1" applyBorder="1"/>
    <xf numFmtId="2" fontId="0" fillId="0" borderId="90" xfId="0" applyNumberFormat="1" applyBorder="1"/>
    <xf numFmtId="3" fontId="0" fillId="0" borderId="91" xfId="0" applyNumberFormat="1" applyBorder="1"/>
    <xf numFmtId="170" fontId="0" fillId="0" borderId="82" xfId="0" applyNumberFormat="1" applyBorder="1"/>
    <xf numFmtId="170" fontId="0" fillId="0" borderId="85" xfId="0" applyNumberFormat="1" applyBorder="1"/>
    <xf numFmtId="3" fontId="0" fillId="0" borderId="85" xfId="0" applyNumberFormat="1" applyBorder="1"/>
    <xf numFmtId="170" fontId="0" fillId="0" borderId="87" xfId="0" applyNumberFormat="1" applyBorder="1"/>
    <xf numFmtId="170" fontId="0" fillId="0" borderId="89" xfId="0" applyNumberFormat="1" applyBorder="1"/>
    <xf numFmtId="170" fontId="0" fillId="0" borderId="90" xfId="0" applyNumberFormat="1" applyBorder="1"/>
    <xf numFmtId="3" fontId="0" fillId="0" borderId="90" xfId="0" applyNumberFormat="1" applyBorder="1"/>
    <xf numFmtId="166" fontId="35" fillId="0" borderId="0" xfId="34" applyNumberFormat="1" applyFont="1" applyFill="1" applyAlignment="1" applyProtection="1">
      <alignment horizontal="right" vertical="center" wrapText="1"/>
      <protection locked="0"/>
    </xf>
    <xf numFmtId="166" fontId="16" fillId="0" borderId="0" xfId="0" applyNumberFormat="1" applyFont="1" applyFill="1" applyAlignment="1">
      <alignment horizontal="right"/>
    </xf>
    <xf numFmtId="166" fontId="0" fillId="0" borderId="0" xfId="0" applyNumberFormat="1" applyFill="1" applyAlignment="1">
      <alignment horizontal="right"/>
    </xf>
    <xf numFmtId="3" fontId="45" fillId="27" borderId="92" xfId="0" applyNumberFormat="1" applyFont="1" applyFill="1" applyBorder="1"/>
    <xf numFmtId="3" fontId="45" fillId="27" borderId="93" xfId="0" applyNumberFormat="1" applyFont="1" applyFill="1" applyBorder="1"/>
    <xf numFmtId="3" fontId="51" fillId="28" borderId="92" xfId="0" applyNumberFormat="1" applyFont="1" applyFill="1" applyBorder="1"/>
    <xf numFmtId="3" fontId="51" fillId="28" borderId="93" xfId="0" applyNumberFormat="1" applyFont="1" applyFill="1" applyBorder="1"/>
    <xf numFmtId="3" fontId="47" fillId="0" borderId="92" xfId="0" applyNumberFormat="1" applyFont="1" applyFill="1" applyBorder="1" applyAlignment="1">
      <alignment wrapText="1"/>
    </xf>
    <xf numFmtId="3" fontId="47" fillId="0" borderId="93" xfId="0" applyNumberFormat="1" applyFont="1" applyFill="1" applyBorder="1" applyAlignment="1">
      <alignment wrapText="1"/>
    </xf>
    <xf numFmtId="0" fontId="0" fillId="0" borderId="92" xfId="0" applyFill="1" applyBorder="1" applyProtection="1"/>
    <xf numFmtId="0" fontId="5" fillId="0" borderId="74" xfId="0" applyFont="1" applyFill="1" applyBorder="1" applyProtection="1"/>
    <xf numFmtId="0" fontId="0" fillId="0" borderId="92" xfId="0" applyFont="1" applyBorder="1"/>
    <xf numFmtId="0" fontId="5" fillId="0" borderId="92" xfId="0" applyFont="1" applyFill="1" applyBorder="1" applyProtection="1"/>
    <xf numFmtId="0" fontId="56" fillId="31" borderId="0" xfId="0" applyFont="1" applyFill="1" applyAlignment="1">
      <alignment wrapText="1"/>
    </xf>
    <xf numFmtId="0" fontId="56" fillId="0" borderId="0" xfId="0" applyFont="1" applyFill="1" applyAlignment="1">
      <alignment wrapText="1"/>
    </xf>
    <xf numFmtId="3" fontId="0" fillId="0" borderId="72" xfId="0" applyNumberFormat="1" applyBorder="1"/>
    <xf numFmtId="0" fontId="5" fillId="0" borderId="0" xfId="0" applyFont="1" applyBorder="1" applyAlignment="1">
      <alignment horizontal="left" indent="1"/>
    </xf>
    <xf numFmtId="167" fontId="36" fillId="0" borderId="19" xfId="36" applyNumberFormat="1" applyFont="1" applyFill="1" applyBorder="1" applyProtection="1"/>
    <xf numFmtId="0" fontId="5" fillId="0" borderId="30" xfId="0" applyFont="1" applyBorder="1" applyAlignment="1" applyProtection="1">
      <alignment horizontal="left" vertical="center" wrapText="1"/>
    </xf>
    <xf numFmtId="170" fontId="36" fillId="0" borderId="30" xfId="36" applyNumberFormat="1" applyFont="1" applyFill="1" applyBorder="1" applyProtection="1"/>
    <xf numFmtId="0" fontId="5" fillId="31" borderId="0" xfId="0" applyFont="1" applyFill="1"/>
    <xf numFmtId="167" fontId="7" fillId="0" borderId="0" xfId="0" applyNumberFormat="1" applyFont="1"/>
    <xf numFmtId="0" fontId="1" fillId="0" borderId="0" xfId="0" applyFont="1" applyFill="1"/>
    <xf numFmtId="3" fontId="45" fillId="27" borderId="94" xfId="0" applyNumberFormat="1" applyFont="1" applyFill="1" applyBorder="1"/>
    <xf numFmtId="3" fontId="47" fillId="0" borderId="94" xfId="0" applyNumberFormat="1" applyFont="1" applyFill="1" applyBorder="1" applyAlignment="1">
      <alignment wrapText="1"/>
    </xf>
    <xf numFmtId="0" fontId="0" fillId="0" borderId="94" xfId="0" applyBorder="1"/>
    <xf numFmtId="0" fontId="0" fillId="0" borderId="81" xfId="0" applyBorder="1"/>
    <xf numFmtId="0" fontId="9" fillId="0" borderId="100" xfId="0" applyFont="1" applyBorder="1"/>
    <xf numFmtId="167" fontId="0" fillId="0" borderId="100" xfId="0" applyNumberFormat="1" applyBorder="1"/>
    <xf numFmtId="167" fontId="62" fillId="0" borderId="100" xfId="0" applyNumberFormat="1" applyFont="1" applyBorder="1"/>
    <xf numFmtId="0" fontId="45" fillId="0" borderId="0" xfId="0" applyFont="1" applyBorder="1"/>
    <xf numFmtId="0" fontId="9" fillId="0" borderId="100" xfId="0" applyFont="1" applyFill="1" applyBorder="1" applyAlignment="1">
      <alignment horizontal="left" indent="1"/>
    </xf>
    <xf numFmtId="167" fontId="10" fillId="0" borderId="100" xfId="0" applyNumberFormat="1" applyFont="1" applyBorder="1"/>
    <xf numFmtId="167" fontId="9" fillId="0" borderId="100" xfId="0" applyNumberFormat="1" applyFont="1" applyBorder="1"/>
    <xf numFmtId="0" fontId="9" fillId="0" borderId="100" xfId="0" applyFont="1" applyBorder="1" applyAlignment="1">
      <alignment horizontal="left" indent="1"/>
    </xf>
    <xf numFmtId="0" fontId="9" fillId="0" borderId="100" xfId="0" applyFont="1" applyFill="1" applyBorder="1"/>
    <xf numFmtId="0" fontId="0" fillId="0" borderId="100" xfId="0" applyBorder="1"/>
    <xf numFmtId="0" fontId="0" fillId="0" borderId="96" xfId="0" applyBorder="1"/>
    <xf numFmtId="0" fontId="0" fillId="0" borderId="97" xfId="0" applyBorder="1"/>
    <xf numFmtId="0" fontId="0" fillId="0" borderId="98" xfId="0" applyBorder="1"/>
    <xf numFmtId="0" fontId="0" fillId="0" borderId="99" xfId="0" applyBorder="1"/>
    <xf numFmtId="0" fontId="0" fillId="0" borderId="101" xfId="0" applyBorder="1"/>
    <xf numFmtId="0" fontId="5" fillId="0" borderId="94" xfId="0" applyFont="1" applyBorder="1"/>
    <xf numFmtId="0" fontId="5" fillId="0" borderId="96" xfId="0" applyFont="1" applyBorder="1"/>
    <xf numFmtId="0" fontId="0" fillId="32" borderId="0" xfId="0" applyFill="1"/>
    <xf numFmtId="3" fontId="0" fillId="32" borderId="0" xfId="0" applyNumberFormat="1" applyFill="1"/>
    <xf numFmtId="1" fontId="0" fillId="0" borderId="0" xfId="0" applyNumberFormat="1" applyFill="1"/>
    <xf numFmtId="0" fontId="5" fillId="0" borderId="0" xfId="0" applyFont="1" applyBorder="1" applyAlignment="1"/>
    <xf numFmtId="3" fontId="0" fillId="32" borderId="0" xfId="0" applyNumberFormat="1" applyFill="1" applyBorder="1"/>
    <xf numFmtId="167" fontId="0" fillId="32" borderId="0" xfId="0" applyNumberFormat="1" applyFill="1" applyBorder="1"/>
    <xf numFmtId="167" fontId="37" fillId="24" borderId="42" xfId="36" applyNumberFormat="1" applyFont="1" applyFill="1" applyBorder="1" applyProtection="1"/>
    <xf numFmtId="3" fontId="36" fillId="0" borderId="15" xfId="0" applyNumberFormat="1" applyFont="1" applyBorder="1"/>
    <xf numFmtId="165" fontId="0" fillId="0" borderId="0" xfId="0" applyNumberFormat="1" applyFill="1"/>
    <xf numFmtId="3" fontId="5" fillId="0" borderId="0" xfId="0" applyNumberFormat="1" applyFont="1" applyFill="1"/>
    <xf numFmtId="0" fontId="5" fillId="31" borderId="0" xfId="0" applyFont="1" applyFill="1" applyBorder="1"/>
    <xf numFmtId="0" fontId="0" fillId="0" borderId="102" xfId="0" applyBorder="1"/>
    <xf numFmtId="0" fontId="0" fillId="0" borderId="102" xfId="0" applyFill="1" applyBorder="1"/>
    <xf numFmtId="3" fontId="5" fillId="0" borderId="0" xfId="0" applyNumberFormat="1" applyFont="1"/>
    <xf numFmtId="3" fontId="0" fillId="33" borderId="0" xfId="0" applyNumberFormat="1" applyFill="1"/>
    <xf numFmtId="0" fontId="0" fillId="0" borderId="0" xfId="0" applyFill="1" applyAlignment="1">
      <alignment wrapText="1"/>
    </xf>
    <xf numFmtId="0" fontId="5" fillId="0" borderId="0" xfId="0" applyFont="1" applyFill="1" applyAlignment="1">
      <alignment wrapText="1"/>
    </xf>
    <xf numFmtId="0" fontId="7" fillId="0" borderId="0" xfId="0" applyFont="1" applyFill="1" applyAlignment="1">
      <alignment wrapText="1"/>
    </xf>
    <xf numFmtId="0" fontId="12" fillId="0" borderId="0" xfId="0" applyFont="1"/>
    <xf numFmtId="0" fontId="0" fillId="0" borderId="95" xfId="0" applyFont="1" applyFill="1" applyBorder="1"/>
    <xf numFmtId="0" fontId="0" fillId="0" borderId="95" xfId="0" applyFill="1" applyBorder="1"/>
    <xf numFmtId="0" fontId="5" fillId="0" borderId="0" xfId="0" applyFont="1" applyFill="1" applyAlignment="1">
      <alignment vertical="center"/>
    </xf>
    <xf numFmtId="3" fontId="9" fillId="0" borderId="0" xfId="0" applyNumberFormat="1" applyFont="1"/>
    <xf numFmtId="0" fontId="9" fillId="34" borderId="0" xfId="0" applyFont="1" applyFill="1"/>
    <xf numFmtId="14" fontId="0" fillId="0" borderId="81" xfId="0" applyNumberFormat="1" applyBorder="1"/>
    <xf numFmtId="0" fontId="0" fillId="0" borderId="103" xfId="0" applyFont="1" applyBorder="1"/>
    <xf numFmtId="0" fontId="0" fillId="0" borderId="104" xfId="0" applyFont="1" applyBorder="1"/>
    <xf numFmtId="0" fontId="0" fillId="0" borderId="104" xfId="0" pivotButton="1" applyFont="1" applyBorder="1"/>
    <xf numFmtId="0" fontId="0" fillId="0" borderId="105" xfId="0" applyFont="1" applyBorder="1"/>
    <xf numFmtId="0" fontId="0" fillId="0" borderId="0" xfId="0" pivotButton="1" applyFont="1" applyBorder="1"/>
    <xf numFmtId="0" fontId="0" fillId="0" borderId="0" xfId="0" applyFont="1" applyBorder="1"/>
    <xf numFmtId="0" fontId="0" fillId="0" borderId="77" xfId="0" applyFont="1" applyBorder="1"/>
    <xf numFmtId="170" fontId="0" fillId="0" borderId="0" xfId="0" applyNumberFormat="1" applyFont="1" applyBorder="1"/>
    <xf numFmtId="171" fontId="0" fillId="0" borderId="0" xfId="0" applyNumberFormat="1" applyFont="1" applyBorder="1"/>
    <xf numFmtId="171" fontId="0" fillId="0" borderId="72" xfId="0" applyNumberFormat="1" applyFont="1" applyBorder="1"/>
    <xf numFmtId="0" fontId="0" fillId="0" borderId="106" xfId="0" applyFont="1" applyBorder="1"/>
    <xf numFmtId="0" fontId="0" fillId="0" borderId="107" xfId="0" applyFont="1" applyBorder="1"/>
    <xf numFmtId="170" fontId="0" fillId="0" borderId="107" xfId="0" applyNumberFormat="1" applyFont="1" applyBorder="1"/>
    <xf numFmtId="171" fontId="0" fillId="0" borderId="107" xfId="0" applyNumberFormat="1" applyFont="1" applyBorder="1"/>
    <xf numFmtId="171" fontId="0" fillId="0" borderId="108" xfId="0" applyNumberFormat="1" applyFont="1" applyBorder="1"/>
    <xf numFmtId="0" fontId="0" fillId="0" borderId="0" xfId="0" pivotButton="1" applyFont="1" applyBorder="1" applyAlignment="1">
      <alignment wrapText="1"/>
    </xf>
    <xf numFmtId="0" fontId="0" fillId="0" borderId="77" xfId="0" pivotButton="1" applyFont="1" applyBorder="1" applyAlignment="1">
      <alignment wrapText="1"/>
    </xf>
    <xf numFmtId="0" fontId="0" fillId="0" borderId="0" xfId="0" applyFont="1" applyBorder="1" applyAlignment="1">
      <alignment wrapText="1"/>
    </xf>
    <xf numFmtId="0" fontId="0" fillId="0" borderId="72" xfId="0" applyFont="1" applyBorder="1" applyAlignment="1">
      <alignment wrapText="1"/>
    </xf>
    <xf numFmtId="3" fontId="12" fillId="0" borderId="0" xfId="0" applyNumberFormat="1" applyFont="1"/>
    <xf numFmtId="0" fontId="0" fillId="35" borderId="0" xfId="0" applyFill="1"/>
    <xf numFmtId="0" fontId="64" fillId="0" borderId="0" xfId="0" applyFont="1"/>
    <xf numFmtId="0" fontId="64" fillId="0" borderId="0" xfId="0" pivotButton="1" applyFont="1" applyAlignment="1">
      <alignment wrapText="1"/>
    </xf>
    <xf numFmtId="2" fontId="64" fillId="0" borderId="0" xfId="0" applyNumberFormat="1" applyFont="1" applyAlignment="1">
      <alignment wrapText="1"/>
    </xf>
    <xf numFmtId="0" fontId="5" fillId="32" borderId="0" xfId="0" applyFont="1" applyFill="1" applyBorder="1" applyAlignment="1"/>
    <xf numFmtId="0" fontId="10" fillId="25" borderId="21" xfId="0" applyFont="1" applyFill="1" applyBorder="1" applyAlignment="1" applyProtection="1">
      <alignment horizontal="center" vertical="center"/>
    </xf>
    <xf numFmtId="0" fontId="10" fillId="25" borderId="33"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5"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32" borderId="0" xfId="0" applyFill="1" applyAlignment="1">
      <alignment horizontal="center"/>
    </xf>
    <xf numFmtId="0" fontId="5" fillId="0" borderId="0" xfId="0" applyFont="1" applyAlignment="1">
      <alignment horizontal="center"/>
    </xf>
    <xf numFmtId="0" fontId="5" fillId="0" borderId="102" xfId="0" applyFont="1" applyFill="1" applyBorder="1" applyAlignment="1">
      <alignment horizontal="center" wrapText="1"/>
    </xf>
    <xf numFmtId="0" fontId="0" fillId="0" borderId="102" xfId="0" applyFill="1" applyBorder="1" applyAlignment="1">
      <alignment horizontal="center" wrapText="1"/>
    </xf>
    <xf numFmtId="0" fontId="10" fillId="0" borderId="23" xfId="0" applyFont="1" applyBorder="1" applyAlignment="1">
      <alignment horizontal="center"/>
    </xf>
    <xf numFmtId="0" fontId="7" fillId="0" borderId="13" xfId="0" applyFont="1" applyBorder="1" applyAlignment="1">
      <alignment horizontal="left"/>
    </xf>
    <xf numFmtId="0" fontId="58" fillId="0" borderId="81" xfId="0" applyFont="1" applyBorder="1"/>
    <xf numFmtId="14" fontId="58" fillId="0" borderId="81" xfId="0" applyNumberFormat="1" applyFont="1" applyBorder="1"/>
  </cellXfs>
  <cellStyles count="88">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Dekorfärg1" xfId="23" builtinId="29" customBuiltin="1"/>
    <cellStyle name="Dekorfärg2" xfId="24" builtinId="33" customBuiltin="1"/>
    <cellStyle name="Dekorfärg3" xfId="25" builtinId="37" customBuiltin="1"/>
    <cellStyle name="Dekorfärg4" xfId="26" builtinId="41" customBuiltin="1"/>
    <cellStyle name="Dekorfärg5" xfId="27" builtinId="45" customBuiltin="1"/>
    <cellStyle name="Dekorfärg6" xfId="28" builtinId="49" customBuiltin="1"/>
    <cellStyle name="Dålig" xfId="22" builtinId="27" customBuilti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rklarande text" xfId="29" builtinId="53" customBuiltin="1"/>
    <cellStyle name="Hyperlänk" xfId="48" builtinId="8"/>
    <cellStyle name="Indata" xfId="30" builtinId="20" customBuiltin="1"/>
    <cellStyle name="Kontrollcell" xfId="31" builtinId="23" customBuiltin="1"/>
    <cellStyle name="Länkad cell" xfId="32" builtinId="24" customBuiltin="1"/>
    <cellStyle name="Neutral" xfId="33" builtinId="28" customBuiltin="1"/>
    <cellStyle name="Normal" xfId="0" builtinId="0"/>
    <cellStyle name="Normal 2" xfId="34"/>
    <cellStyle name="Normal 3" xfId="49"/>
    <cellStyle name="Normal 4" xfId="35"/>
    <cellStyle name="Normal 5" xfId="85"/>
    <cellStyle name="Normal 6" xfId="86"/>
    <cellStyle name="Normal 7" xfId="87"/>
    <cellStyle name="Normal_Material" xfId="36"/>
    <cellStyle name="Normal_Test på estetiska" xfId="37"/>
    <cellStyle name="Procent" xfId="38" builtinId="5"/>
    <cellStyle name="Procent 2" xfId="39"/>
    <cellStyle name="Rubrik" xfId="40" builtinId="15" customBuiltin="1"/>
    <cellStyle name="Rubrik 1" xfId="41" builtinId="16" customBuiltin="1"/>
    <cellStyle name="Rubrik 2" xfId="42" builtinId="17" customBuiltin="1"/>
    <cellStyle name="Rubrik 3" xfId="43" builtinId="18" customBuiltin="1"/>
    <cellStyle name="Rubrik 4" xfId="44" builtinId="19" customBuiltin="1"/>
    <cellStyle name="Summa" xfId="45" builtinId="25" customBuiltin="1"/>
    <cellStyle name="Utdata" xfId="46" builtinId="21" customBuiltin="1"/>
    <cellStyle name="Varningstext" xfId="47" builtinId="11" customBuiltin="1"/>
  </cellStyles>
  <dxfs count="52">
    <dxf>
      <numFmt numFmtId="170" formatCode="#,##0,&quot; tkr&quot;;[Red]\-#,##0,&quot; tkr&quot;"/>
    </dxf>
    <dxf>
      <numFmt numFmtId="170" formatCode="#,##0,&quot; tkr&quot;;[Red]\-#,##0,&quot; tkr&quot;"/>
    </dxf>
    <dxf>
      <numFmt numFmtId="170" formatCode="#,##0,&quot; tkr&quot;;[Red]\-#,##0,&quot; tkr&quot;"/>
    </dxf>
    <dxf>
      <numFmt numFmtId="171" formatCode="#,##0.0_ ;[Red]\-#,##0.0\ "/>
    </dxf>
    <dxf>
      <numFmt numFmtId="171" formatCode="#,##0.0_ ;[Red]\-#,##0.0\ "/>
    </dxf>
    <dxf>
      <numFmt numFmtId="170" formatCode="#,##0,&quot; tkr&quot;;[Red]\-#,##0,&quot; tkr&quot;"/>
    </dxf>
    <dxf>
      <alignment wrapText="1" readingOrder="0"/>
    </dxf>
    <dxf>
      <alignment wrapText="1" readingOrder="0"/>
    </dxf>
    <dxf>
      <alignment wrapText="1" readingOrder="0"/>
    </dxf>
    <dxf>
      <alignment wrapText="1" readingOrder="0"/>
    </dxf>
    <dxf>
      <alignment wrapText="1" readingOrder="0"/>
    </dxf>
    <dxf>
      <font>
        <b val="0"/>
      </font>
    </dxf>
    <dxf>
      <border>
        <left style="thin">
          <color indexed="64"/>
        </left>
        <right style="thin">
          <color indexed="64"/>
        </right>
        <top style="thin">
          <color indexed="64"/>
        </top>
        <bottom style="thin">
          <color indexed="64"/>
        </bottom>
      </border>
    </dxf>
    <dxf>
      <numFmt numFmtId="164" formatCode="#,##0.0"/>
    </dxf>
    <dxf>
      <numFmt numFmtId="164" formatCode="#,##0.0"/>
    </dxf>
    <dxf>
      <alignment wrapText="1" readingOrder="0"/>
    </dxf>
    <dxf>
      <numFmt numFmtId="170" formatCode="#,##0,&quot; tkr&quot;;[Red]\-#,##0,&quot; tkr&quo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70" formatCode="#,##0,&quot; tkr&quot;;[Red]\-#,##0,&quot; tkr&quot;"/>
    </dxf>
    <dxf>
      <font>
        <b/>
      </font>
    </dxf>
    <dxf>
      <font>
        <b/>
      </font>
    </dxf>
    <dxf>
      <font>
        <b/>
      </font>
    </dxf>
    <dxf>
      <font>
        <b/>
      </font>
    </dxf>
    <dxf>
      <font>
        <b/>
      </font>
    </dxf>
    <dxf>
      <font>
        <b/>
      </font>
    </dxf>
    <dxf>
      <font>
        <b/>
      </font>
    </dxf>
    <dxf>
      <font>
        <b/>
      </font>
    </dxf>
    <dxf>
      <alignment wrapText="1" readingOrder="0"/>
    </dxf>
    <dxf>
      <alignment wrapText="1" readingOrder="0"/>
    </dxf>
    <dxf>
      <alignment wrapText="1" readingOrder="0"/>
    </dxf>
    <dxf>
      <alignment wrapText="1" readingOrder="0"/>
    </dxf>
    <dxf>
      <numFmt numFmtId="170" formatCode="#,##0,&quot; tkr&quot;;[Red]\-#,##0,&quot; tkr&quot;"/>
    </dxf>
    <dxf>
      <numFmt numFmtId="3" formatCode="#,##0"/>
    </dxf>
    <dxf>
      <numFmt numFmtId="170" formatCode="#,##0,&quot; tkr&quot;;[Red]\-#,##0,&quot; tkr&quot;"/>
    </dxf>
    <dxf>
      <numFmt numFmtId="170" formatCode="#,##0,&quot; tkr&quot;;[Red]\-#,##0,&quot; tkr&quot;"/>
    </dxf>
  </dxfs>
  <tableStyles count="0" defaultTableStyle="TableStyleMedium9" defaultPivotStyle="PivotStyleLight16"/>
  <colors>
    <mruColors>
      <color rgb="FFFFFFCC"/>
      <color rgb="FFFFD653"/>
      <color rgb="FFCCFFFF"/>
      <color rgb="FFCCFFCC"/>
      <color rgb="FF99FFCC"/>
      <color rgb="FFFC8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Eva Alenius" refreshedDate="44102.549227199073" createdVersion="5" refreshedVersion="6" minRefreshableVersion="3" recordCount="137">
  <cacheSource type="worksheet">
    <worksheetSource ref="A1:BL138" sheet="kurser alla"/>
  </cacheSource>
  <cacheFields count="64">
    <cacheField name="Kurskod NyA" numFmtId="0">
      <sharedItems count="185">
        <s v="1EN051"/>
        <s v="1EN053"/>
        <s v="1NS068"/>
        <s v="1NS071"/>
        <s v="1RY023"/>
        <s v="1RY029"/>
        <s v="1SP021"/>
        <s v="1SP022"/>
        <s v="1SP030"/>
        <s v="6BI100"/>
        <s v="6DI018"/>
        <s v="6DI019"/>
        <s v="6DI020"/>
        <s v="6ES038"/>
        <s v="6ES066"/>
        <s v="6ES082"/>
        <s v="6ES091"/>
        <s v="6ES107"/>
        <s v="6ID018"/>
        <s v="6KE100"/>
        <s v="6KN023"/>
        <s v="6KN027"/>
        <s v="6KN028"/>
        <s v="6KN029"/>
        <s v="6KS005"/>
        <s v="6LÄ056"/>
        <s v="6MA044"/>
        <s v="6MN036"/>
        <s v="6MN049"/>
        <s v="6MN050"/>
        <s v="6MU058"/>
        <s v="6MU059"/>
        <s v="6MU060"/>
        <s v="6PE176"/>
        <s v="6PE177"/>
        <s v="6PE179"/>
        <s v="6PE180"/>
        <s v="6PE248"/>
        <s v="6SA011"/>
        <s v="6SL022"/>
        <s v="6SL035"/>
        <s v="6SL038"/>
        <s v="6SV017"/>
        <s v="6SV066"/>
        <s v="6TX020"/>
        <s v="6TX025"/>
        <s v="6TX026"/>
        <s v="6TX030"/>
        <s v="1EN050"/>
        <s v="1EN052"/>
        <s v="1EN079"/>
        <s v="1HI000"/>
        <s v="1HI008"/>
        <s v="1HI073"/>
        <s v="1NS072"/>
        <s v="1NS082"/>
        <s v="1RE042"/>
        <s v="6ES067"/>
        <s v="6ES090"/>
        <s v="6KN025"/>
        <s v="6KN026"/>
        <s v="6LÄ057"/>
        <s v="6MN040"/>
        <s v="6MN047"/>
        <s v="6MN048"/>
        <s v="6PE111"/>
        <s v="6PE212"/>
        <s v="6PE250"/>
        <s v="6SL021"/>
        <s v="6SL036"/>
        <s v="6TX016"/>
        <s v="6TX037"/>
        <s v="1EN063" u="1"/>
        <s v="6DI006" u="1"/>
        <s v="2SP002" u="1"/>
        <s v="1RE043" u="1"/>
        <s v="1SL006" u="1"/>
        <s v="6LU002" u="1"/>
        <s v="6kn014" u="1"/>
        <s v="6MA041" u="1"/>
        <s v="6SV050" u="1"/>
        <s v="6KN009" u="1"/>
        <s v="6MU033" u="1"/>
        <s v="1TY042" u="1"/>
        <s v="1RE183" u="1"/>
        <s v="6ES030" u="1"/>
        <s v="6PE178" u="1"/>
        <s v="6PE247" u="1"/>
        <s v="6HI015" u="1"/>
        <s v="1RE207" u="1"/>
        <s v="6MS001" u="1"/>
        <s v="1SA149" u="1"/>
        <s v="2PS115" u="1"/>
        <s v="1RE186" u="1"/>
        <s v="6PE034" u="1"/>
        <s v="5KE034" u="1"/>
        <s v="1NS076" u="1"/>
        <s v="6SV061" u="1"/>
        <s v="1EN062" u="1"/>
        <s v="1LV057" u="1"/>
        <s v="1RE062" u="1"/>
        <s v="2IT031" u="1"/>
        <s v="6DI005" u="1"/>
        <s v="6KE102" u="1"/>
        <s v="6MU019" u="1"/>
        <s v="2IT026" u="1"/>
        <s v="1IH000" u="1"/>
        <s v="2IT006" u="1"/>
        <s v="6EN036" u="1"/>
        <s v="1EN002" u="1"/>
        <s v="6TX027" u="1"/>
        <s v="6MA040" u="1"/>
        <s v="5KE002" u="1"/>
        <s v="2IT029" u="1"/>
        <s v="1FL081" u="1"/>
        <s v="1FR008" u="1"/>
        <s v="1RY017" u="1"/>
        <s v="6EN019" u="1"/>
        <s v="6KN016" u="1"/>
        <s v="1MU021" u="1"/>
        <s v="6MA043" u="1"/>
        <s v="6TX015" u="1"/>
        <s v="6PE182" u="1"/>
        <s v="6DI021" u="1"/>
        <s v="6MA023" u="1"/>
        <s v="6MU020" u="1"/>
        <s v="5BI204" u="1"/>
        <s v="2PS114" u="1"/>
        <s v="2JU033" u="1"/>
        <s v="6ES052" u="1"/>
        <s v="6KN024" u="1"/>
        <s v="1NS075" u="1"/>
        <s v="1SV036" u="1"/>
        <s v="6MA046" u="1"/>
        <s v="6TX003" u="1"/>
        <s v="6MA026" u="1"/>
        <s v="6PE234" u="1"/>
        <s v="5KE165" u="1"/>
        <s v="6KE101" u="1"/>
        <s v="6MU018" u="1"/>
        <s v="6ID013" u="1"/>
        <s v="6SD003" u="1"/>
        <s v="2PS117" u="1"/>
        <s v="6ID303" u="1"/>
        <s v="1SP024" u="1"/>
        <s v="6ÖÄ003" u="1"/>
        <s v="6EN035" u="1"/>
        <s v="1NS078" u="1"/>
        <s v="6TX011" u="1"/>
        <s v="1NS058" u="1"/>
        <s v="6MA029" u="1"/>
        <s v="1SA139" u="1"/>
        <s v="5EL230" u="1"/>
        <s v="1SP027" u="1"/>
        <s v="1RY016" u="1"/>
        <s v="6TX029" u="1"/>
        <s v="2KN035" u="1"/>
        <s v="6KN015" u="1"/>
        <s v="1MU020" u="1"/>
        <s v="1NS066" u="1"/>
        <s v="6LV003" u="1"/>
        <s v="6MA042" u="1"/>
        <s v="6TX014" u="1"/>
        <s v="6SV051" u="1"/>
        <s v="6PE181" u="1"/>
        <s v="6MA037" u="1"/>
        <s v="5BI223" u="1"/>
        <s v="6MU034" u="1"/>
        <s v="1EN047" u="1"/>
        <s v="6LÄ048" u="1"/>
        <s v="6ID314" u="1"/>
        <s v="6ES051" u="1"/>
        <s v="6TX022" u="1"/>
        <s v="1NS069" u="1"/>
        <s v="6MA045" u="1"/>
        <s v="6ES026" u="1"/>
        <s v="6FY009" u="1"/>
        <s v="6MA025" u="1"/>
        <s v="6MS002" u="1"/>
        <s v="2PS116" u="1"/>
        <s v="1SP023" u="1"/>
        <s v="6SV062" u="1"/>
        <s v="5KE020" u="1"/>
        <s v="6KN011" u="1"/>
        <s v="6MA048" u="1"/>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ontainsBlank="1"/>
    </cacheField>
    <cacheField name="HtVt" numFmtId="0">
      <sharedItems/>
    </cacheField>
    <cacheField name="Studieveckor" numFmtId="0">
      <sharedItems containsBlank="1"/>
    </cacheField>
    <cacheField name="Ort" numFmtId="0">
      <sharedItems containsNonDate="0" containsString="0" containsBlank="1"/>
    </cacheField>
    <cacheField name="Form" numFmtId="0">
      <sharedItems containsNonDate="0" containsString="0" containsBlank="1"/>
    </cacheField>
    <cacheField name="Inriktning" numFmtId="0">
      <sharedItems containsNonDate="0" containsString="0" containsBlank="1"/>
    </cacheField>
    <cacheField name="Verksamhetsområde" numFmtId="0">
      <sharedItems containsNonDate="0" containsString="0" containsBlank="1"/>
    </cacheField>
    <cacheField name="Studie takt" numFmtId="0">
      <sharedItems containsSemiMixedTypes="0" containsString="0" containsNumber="1" containsInteger="1" minValue="25" maxValue="100"/>
    </cacheField>
    <cacheField name="Poäng" numFmtId="0">
      <sharedItems containsSemiMixedTypes="0" containsString="0" containsNumber="1" minValue="0" maxValue="30"/>
    </cacheField>
    <cacheField name="Ant" numFmtId="0">
      <sharedItems containsSemiMixedTypes="0" containsString="0" containsNumber="1" containsInteger="1" minValue="1" maxValue="53"/>
    </cacheField>
    <cacheField name="HST" numFmtId="166">
      <sharedItems containsSemiMixedTypes="0" containsString="0" containsNumber="1" minValue="0" maxValue="6.6250001325000003"/>
    </cacheField>
    <cacheField name="HPR %" numFmtId="9">
      <sharedItems containsSemiMixedTypes="0" containsString="0" containsNumber="1" containsInteger="1" minValue="1" maxValue="1"/>
    </cacheField>
    <cacheField name="HPR" numFmtId="166">
      <sharedItems containsSemiMixedTypes="0" containsString="0" containsNumber="1" minValue="0" maxValue="6.6250001325000003"/>
    </cacheField>
    <cacheField name="Kursansvar" numFmtId="0">
      <sharedItems containsSemiMixedTypes="0" containsString="0" containsNumber="1" containsInteger="1" minValue="1620" maxValue="5740"/>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minValue="19097" maxValue="48895"/>
    </cacheField>
    <cacheField name="Kurspris HPR" numFmtId="3">
      <sharedItems containsSemiMixedTypes="0" containsString="0" containsNumber="1" minValue="16075" maxValue="65018"/>
    </cacheField>
    <cacheField name="Total ersättning" numFmtId="3">
      <sharedItems containsSemiMixedTypes="0" containsString="0" containsNumber="1" minValue="0" maxValue="367926.00735852"/>
    </cacheField>
    <cacheField name="Hyrespris" numFmtId="3">
      <sharedItems containsSemiMixedTypes="0" containsString="0" containsNumber="1" containsInteger="1" minValue="3500" maxValue="71400"/>
    </cacheField>
    <cacheField name="Lokalintäkt" numFmtId="3">
      <sharedItems containsSemiMixedTypes="0" containsString="0" containsNumber="1" minValue="0" maxValue="89250.000713999994"/>
    </cacheField>
    <cacheField name="Totala intäkter" numFmtId="3">
      <sharedItems containsSemiMixedTypes="0" containsString="0" containsNumber="1" minValue="0" maxValue="407013.50814027002"/>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minValue="0" maxValue="1"/>
    </cacheField>
    <cacheField name="SA" numFmtId="0">
      <sharedItems containsSemiMixedTypes="0" containsString="0" containsNumber="1" containsInteger="1" minValue="0" maxValue="1"/>
    </cacheField>
    <cacheField name="TE" numFmtId="0">
      <sharedItems containsSemiMixedTypes="0" containsString="0" containsNumb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 name="Hämtat ur" numFmtId="0">
      <sharedItems/>
    </cacheField>
    <cacheField name="Anm" numFmtId="0">
      <sharedItems containsBlank="1"/>
    </cacheField>
    <cacheField name="DE HST" numFmtId="0">
      <sharedItems containsSemiMixedTypes="0" containsString="0" containsNumber="1" minValue="0" maxValue="0.75"/>
    </cacheField>
    <cacheField name="DE HPR" numFmtId="166">
      <sharedItems containsSemiMixedTypes="0" containsString="0" containsNumber="1" minValue="0" maxValue="0.75"/>
    </cacheField>
    <cacheField name="HU HST" numFmtId="0">
      <sharedItems containsSemiMixedTypes="0" containsString="0" containsNumber="1" minValue="0" maxValue="2.5"/>
    </cacheField>
    <cacheField name="HU HPR" numFmtId="166">
      <sharedItems containsSemiMixedTypes="0" containsString="0" containsNumber="1" minValue="0" maxValue="2.5"/>
    </cacheField>
    <cacheField name="ID HST" numFmtId="0">
      <sharedItems containsSemiMixedTypes="0" containsString="0" containsNumber="1" minValue="0" maxValue="0.500000004"/>
    </cacheField>
    <cacheField name="ID HPR" numFmtId="0">
      <sharedItems containsSemiMixedTypes="0" containsString="0" containsNumber="1" minValue="0" maxValue="0.500000004"/>
    </cacheField>
    <cacheField name="LU HST" numFmtId="0">
      <sharedItems containsSemiMixedTypes="0" containsString="0" containsNumber="1" minValue="0" maxValue="6.6250001325000003"/>
    </cacheField>
    <cacheField name="LU HPR" numFmtId="166">
      <sharedItems containsSemiMixedTypes="0" containsString="0" containsNumber="1" minValue="0" maxValue="6.6250001325000003"/>
    </cacheField>
    <cacheField name="MU HST" numFmtId="2">
      <sharedItems containsSemiMixedTypes="0" containsString="0" containsNumber="1" minValue="0" maxValue="1.2500000099999999"/>
    </cacheField>
    <cacheField name="MU HPR" numFmtId="166">
      <sharedItems containsSemiMixedTypes="0" containsString="0" containsNumber="1" minValue="0" maxValue="1.2500000099999999"/>
    </cacheField>
    <cacheField name="NA HST" numFmtId="0">
      <sharedItems containsSemiMixedTypes="0" containsString="0" containsNumber="1" minValue="0" maxValue="2"/>
    </cacheField>
    <cacheField name="NA HPR" numFmtId="166">
      <sharedItems containsSemiMixedTypes="0" containsString="0" containsNumber="1" minValue="0" maxValue="2"/>
    </cacheField>
    <cacheField name="SA HST" numFmtId="0">
      <sharedItems containsSemiMixedTypes="0" containsString="0" containsNumber="1" minValue="0" maxValue="1.7500000371"/>
    </cacheField>
    <cacheField name="SA HPR" numFmtId="166">
      <sharedItems containsSemiMixedTypes="0" containsString="0" containsNumber="1" minValue="0" maxValue="1.7500000371"/>
    </cacheField>
    <cacheField name="TE HST" numFmtId="0">
      <sharedItems containsSemiMixedTypes="0" containsString="0" containsNumber="1" minValue="0" maxValue="2.000000016"/>
    </cacheField>
    <cacheField name="TE HPR" numFmtId="166">
      <sharedItems containsSemiMixedTypes="0" containsString="0" containsNumber="1" minValue="0" maxValue="2.000000016"/>
    </cacheField>
    <cacheField name="VFU HST" numFmtId="0">
      <sharedItems containsSemiMixedTypes="0" containsString="0" containsNumber="1" minValue="0" maxValue="4"/>
    </cacheField>
    <cacheField name="VFU HPR" numFmtId="166">
      <sharedItems containsSemiMixedTypes="0" containsString="0" containsNumber="1" minValue="0" maxValue="4"/>
    </cacheField>
    <cacheField name="XXX HST" numFmtId="0">
      <sharedItems containsSemiMixedTypes="0" containsString="0" containsNumber="1" containsInteger="1" minValue="0" maxValue="0"/>
    </cacheField>
    <cacheField name="ÖV HST" numFmtId="0">
      <sharedItems containsSemiMixedTypes="0" containsString="0" containsNumber="1" containsInteger="1" minValue="0" maxValue="0"/>
    </cacheField>
    <cacheField name="ÖV HPR" numFmtId="166">
      <sharedItems containsSemiMixedTypes="0" containsString="0" containsNumber="1" containsInteger="1" minValue="0" maxValue="0"/>
    </cacheField>
    <cacheField name="VÅ HST" numFmtId="0">
      <sharedItems containsSemiMixedTypes="0" containsString="0" containsNumber="1" containsInteger="1" minValue="0" maxValue="0"/>
    </cacheField>
    <cacheField name="VÅ HPR" numFmtId="166">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va Alenius" refreshedDate="44102.55302511574" createdVersion="5" refreshedVersion="6" minRefreshableVersion="3" recordCount="137">
  <cacheSource type="worksheet">
    <worksheetSource ref="A1:AM138" sheet="kurser alla"/>
  </cacheSource>
  <cacheFields count="39">
    <cacheField name="Kurskod NyA" numFmtId="0">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ontainsBlank="1"/>
    </cacheField>
    <cacheField name="HtVt" numFmtId="0">
      <sharedItems/>
    </cacheField>
    <cacheField name="Studieveckor" numFmtId="0">
      <sharedItems containsBlank="1"/>
    </cacheField>
    <cacheField name="Ort" numFmtId="0">
      <sharedItems containsNonDate="0" containsString="0" containsBlank="1"/>
    </cacheField>
    <cacheField name="Form" numFmtId="0">
      <sharedItems containsNonDate="0" containsString="0" containsBlank="1"/>
    </cacheField>
    <cacheField name="Inriktning" numFmtId="0">
      <sharedItems containsNonDate="0" containsString="0" containsBlank="1"/>
    </cacheField>
    <cacheField name="Verksamhetsområde" numFmtId="0">
      <sharedItems containsNonDate="0" containsString="0" containsBlank="1"/>
    </cacheField>
    <cacheField name="Studie takt" numFmtId="0">
      <sharedItems containsSemiMixedTypes="0" containsString="0" containsNumber="1" containsInteger="1" minValue="25" maxValue="100"/>
    </cacheField>
    <cacheField name="Poäng" numFmtId="0">
      <sharedItems containsSemiMixedTypes="0" containsString="0" containsNumber="1" minValue="0" maxValue="30"/>
    </cacheField>
    <cacheField name="Ant" numFmtId="0">
      <sharedItems containsSemiMixedTypes="0" containsString="0" containsNumber="1" containsInteger="1" minValue="1" maxValue="53"/>
    </cacheField>
    <cacheField name="HST" numFmtId="166">
      <sharedItems containsSemiMixedTypes="0" containsString="0" containsNumber="1" minValue="0" maxValue="6.6250001325000003"/>
    </cacheField>
    <cacheField name="HPR %" numFmtId="9">
      <sharedItems containsSemiMixedTypes="0" containsString="0" containsNumber="1" containsInteger="1" minValue="1" maxValue="1"/>
    </cacheField>
    <cacheField name="HPR" numFmtId="166">
      <sharedItems containsSemiMixedTypes="0" containsString="0" containsNumber="1" minValue="0" maxValue="6.6250001325000003"/>
    </cacheField>
    <cacheField name="Kursansvar" numFmtId="0">
      <sharedItems containsSemiMixedTypes="0" containsString="0" containsNumber="1" containsInteger="1" minValue="1620" maxValue="5740" count="16">
        <n v="1620"/>
        <n v="5740"/>
        <n v="1650"/>
        <n v="2180"/>
        <n v="2650"/>
        <n v="5730"/>
        <n v="2193"/>
        <n v="1630"/>
        <n v="5500" u="1"/>
        <n v="2200" u="1"/>
        <n v="2300" u="1"/>
        <n v="2750" u="1"/>
        <n v="5400" u="1"/>
        <n v="5410" u="1"/>
        <n v="1640" u="1"/>
        <n v="5100" u="1"/>
      </sharedItems>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minValue="19097" maxValue="48895"/>
    </cacheField>
    <cacheField name="Kurspris HPR" numFmtId="3">
      <sharedItems containsSemiMixedTypes="0" containsString="0" containsNumber="1" minValue="16075" maxValue="65018"/>
    </cacheField>
    <cacheField name="Total ersättning" numFmtId="3">
      <sharedItems containsSemiMixedTypes="0" containsString="0" containsNumber="1" minValue="0" maxValue="367926.00735852"/>
    </cacheField>
    <cacheField name="Hyrespris" numFmtId="3">
      <sharedItems containsSemiMixedTypes="0" containsString="0" containsNumber="1" containsInteger="1" minValue="3500" maxValue="71400"/>
    </cacheField>
    <cacheField name="Lokalintäkt" numFmtId="3">
      <sharedItems containsSemiMixedTypes="0" containsString="0" containsNumber="1" minValue="0" maxValue="89250.000713999994"/>
    </cacheField>
    <cacheField name="Totala intäkter" numFmtId="3">
      <sharedItems containsSemiMixedTypes="0" containsString="0" containsNumber="1" minValue="0" maxValue="407013.50814027002"/>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minValue="0" maxValue="1"/>
    </cacheField>
    <cacheField name="SA" numFmtId="0">
      <sharedItems containsSemiMixedTypes="0" containsString="0" containsNumber="1" containsInteger="1" minValue="0" maxValue="1"/>
    </cacheField>
    <cacheField name="TE" numFmtId="0">
      <sharedItems containsSemiMixedTypes="0" containsString="0" containsNumb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va Alenius" refreshedDate="44102.553184722223" createdVersion="5" refreshedVersion="6" minRefreshableVersion="3" recordCount="16">
  <cacheSource type="worksheet">
    <worksheetSource ref="A1:T17" sheet="underlag medverkande 2"/>
  </cacheSource>
  <cacheFields count="20">
    <cacheField name="Kurskod NyA" numFmtId="0">
      <sharedItems count="13">
        <s v="6DI003"/>
        <s v="6DI005"/>
        <s v="6DI018"/>
        <s v="6ID017"/>
        <s v="6ID018"/>
        <s v="6ID303"/>
        <s v="6ID314"/>
        <s v="6LU002"/>
        <s v="6LÄ048"/>
        <s v="6PE111"/>
        <s v="6PE176"/>
        <s v="6PE179"/>
        <s v="6ID301" u="1"/>
      </sharedItems>
    </cacheField>
    <cacheField name="Benämning" numFmtId="0">
      <sharedItems count="12">
        <s v="Bedömning-avancerad nivå (VAL,ULV)"/>
        <s v="Bedömning-grundnivå (VAL,ULV)"/>
        <s v="Bedömning - grundnivå (VAL, ULV)"/>
        <s v="Idrott och hälsa I"/>
        <s v="Idrott och hälsa 3"/>
        <s v="Idrott och hälsa III"/>
        <s v="Idrott och hälsa II för gymnasieskolan"/>
        <s v="Demokrati, individ och samhälle"/>
        <s v="Att undervisa i F-3"/>
        <s v="Grupprocesser och samverkan ur ett fritidshemsperspektiv"/>
        <s v="Utbildningens villkor och samhälleliga funktion - grundnivå (VAL, ULV)"/>
        <s v="Uppdrag, ledarskap och undervisning - grundnivå (VAL, ULV)"/>
      </sharedItems>
    </cacheField>
    <cacheField name="Org 1" numFmtId="0">
      <sharedItems containsSemiMixedTypes="0" containsString="0" containsNumber="1" containsInteger="1" minValue="1620" maxValue="5740" count="22">
        <n v="2180"/>
        <n v="2193"/>
        <n v="3306"/>
        <n v="2650"/>
        <n v="3850"/>
        <n v="1640"/>
        <n v="5740"/>
        <n v="1650"/>
        <n v="2200" u="1"/>
        <n v="2271" u="1"/>
        <n v="1620" u="1"/>
        <n v="2300" u="1"/>
        <n v="5730" u="1"/>
        <n v="2750" u="1"/>
        <n v="2272" u="1"/>
        <n v="2220" u="1"/>
        <n v="1630" u="1"/>
        <n v="2500" u="1"/>
        <n v="2340" u="1"/>
        <n v="5100" u="1"/>
        <n v="3704" u="1"/>
        <n v="2360" u="1"/>
      </sharedItems>
    </cacheField>
    <cacheField name="Medv namn" numFmtId="0">
      <sharedItems count="8">
        <s v="Pedagogik                     "/>
        <s v="TUV "/>
        <s v="Idrottsmedicin                "/>
        <s v="Kostvetenskap                 "/>
        <s v="Epidemiologi och global hälsa"/>
        <s v="Inst för kultur- o medievetenskap"/>
        <s v="NMD"/>
        <s v="Estetiska ämnen               "/>
      </sharedItems>
    </cacheField>
    <cacheField name="Fak medv" numFmtId="0">
      <sharedItems count="4">
        <s v="Sam"/>
        <s v="Med"/>
        <s v="Hum"/>
        <s v="TekNat"/>
      </sharedItems>
    </cacheField>
    <cacheField name="% org 1" numFmtId="10">
      <sharedItems containsSemiMixedTypes="0" containsString="0" containsNumber="1" minValue="0.15" maxValue="0.5" count="7">
        <n v="0.26666666666666666"/>
        <n v="0.25"/>
        <n v="0.15"/>
        <n v="0.16666666666666666"/>
        <n v="0.5"/>
        <n v="0.33333333333333331"/>
        <n v="0.4"/>
      </sharedItems>
    </cacheField>
    <cacheField name="Ansv org" numFmtId="0">
      <sharedItems containsSemiMixedTypes="0" containsString="0" containsNumber="1" containsInteger="1" minValue="1620" maxValue="5740" count="8">
        <n v="5740"/>
        <n v="2180"/>
        <n v="1630"/>
        <n v="1620"/>
        <n v="2193"/>
        <n v="2500" u="1"/>
        <n v="2340" u="1"/>
        <n v="1650" u="1"/>
      </sharedItems>
    </cacheField>
    <cacheField name="Kursansvar namn" numFmtId="0">
      <sharedItems count="5">
        <s v="NMD"/>
        <s v="Pedagogik                     "/>
        <s v="Inst för ide- o samhällsstudier"/>
        <s v="Inst för språkstudier"/>
        <s v="TUV "/>
      </sharedItems>
    </cacheField>
    <cacheField name="Fak kursansvar" numFmtId="0">
      <sharedItems/>
    </cacheField>
    <cacheField name="Total HST" numFmtId="165">
      <sharedItems containsSemiMixedTypes="0" containsString="0" containsNumber="1" minValue="0" maxValue="11.8750001325"/>
    </cacheField>
    <cacheField name="HST Medv" numFmtId="165">
      <sharedItems containsSemiMixedTypes="0" containsString="0" containsNumber="1" minValue="0" maxValue="3.1666667020000001"/>
    </cacheField>
    <cacheField name="Total HPR" numFmtId="165">
      <sharedItems containsSemiMixedTypes="0" containsString="0" containsNumber="1" minValue="0" maxValue="11.8750001325"/>
    </cacheField>
    <cacheField name="HPR Medv" numFmtId="165">
      <sharedItems containsSemiMixedTypes="0" containsString="0" containsNumber="1" minValue="0" maxValue="3.1666667020000001"/>
    </cacheField>
    <cacheField name="Prislapp HST" numFmtId="167">
      <sharedItems containsSemiMixedTypes="0" containsString="0" containsNumber="1" containsInteger="1" minValue="19097" maxValue="45856"/>
    </cacheField>
    <cacheField name="Prislapp HPR" numFmtId="167">
      <sharedItems containsSemiMixedTypes="0" containsString="0" containsNumber="1" containsInteger="1" minValue="16075" maxValue="34830"/>
    </cacheField>
    <cacheField name="Lokalin/hst" numFmtId="167">
      <sharedItems containsSemiMixedTypes="0" containsString="0" containsNumber="1" containsInteger="1" minValue="3500" maxValue="35200"/>
    </cacheField>
    <cacheField name="Kursintäkt" numFmtId="167">
      <sharedItems containsSemiMixedTypes="0" containsString="0" containsNumber="1" minValue="0" maxValue="175864.00196227201"/>
    </cacheField>
    <cacheField name="Avdrag" numFmtId="167">
      <sharedItems containsSemiMixedTypes="0" containsString="0" containsNumber="1" minValue="-12310.480137359042" maxValue="0"/>
    </cacheField>
    <cacheField name="Kursintäkt efter avdrag" numFmtId="167">
      <sharedItems containsSemiMixedTypes="0" containsString="0" containsNumber="1" minValue="0" maxValue="163553.52182491298"/>
    </cacheField>
    <cacheField name="Lokalintäkt" numFmtId="167">
      <sharedItems containsSemiMixedTypes="0" containsString="0" containsNumber="1" minValue="0" maxValue="18683.3335418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7">
  <r>
    <x v="0"/>
    <s v="Engelska A2, nätkurs"/>
    <m/>
    <s v="LYLÄP"/>
    <m/>
    <s v="VT"/>
    <m/>
    <m/>
    <m/>
    <m/>
    <m/>
    <n v="50"/>
    <n v="15"/>
    <n v="2"/>
    <n v="0.500000004"/>
    <n v="1"/>
    <n v="0.500000004"/>
    <n v="1620"/>
    <s v="Inst för språkstudier"/>
    <s v="Hum"/>
    <s v="VAL-projektet"/>
    <n v="19097"/>
    <n v="16075"/>
    <n v="17586.000140688"/>
    <n v="5900"/>
    <n v="2950.0000236000001"/>
    <n v="20536.000164288002"/>
    <n v="0"/>
    <n v="1"/>
    <n v="0"/>
    <n v="0"/>
    <n v="0"/>
    <n v="0"/>
    <n v="0"/>
    <n v="0"/>
    <n v="0"/>
    <n v="0"/>
    <n v="0"/>
    <n v="0"/>
    <s v="Ladok 200831"/>
    <m/>
    <n v="0"/>
    <n v="0"/>
    <n v="0.500000004"/>
    <n v="0.500000004"/>
    <n v="0"/>
    <n v="0"/>
    <n v="0"/>
    <n v="0"/>
    <n v="0"/>
    <n v="0"/>
    <n v="0"/>
    <n v="0"/>
    <n v="0"/>
    <n v="0"/>
    <n v="0"/>
    <n v="0"/>
    <n v="0"/>
    <n v="0"/>
    <n v="0"/>
    <n v="0"/>
    <n v="0"/>
    <n v="0"/>
    <n v="0"/>
  </r>
  <r>
    <x v="1"/>
    <s v="Engelska B2, nätkurs"/>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2"/>
    <s v="Svenska/Nordiska språk B: Svenska språkets historia"/>
    <m/>
    <s v="LYLÄP"/>
    <m/>
    <s v="VT"/>
    <m/>
    <m/>
    <m/>
    <m/>
    <m/>
    <n v="50"/>
    <n v="7.5"/>
    <n v="1"/>
    <n v="0.125000001"/>
    <n v="1"/>
    <n v="0.125000001"/>
    <n v="1620"/>
    <s v="Inst för språkstudier"/>
    <s v="Hum"/>
    <s v="VAL-projektet"/>
    <n v="19097"/>
    <n v="16075"/>
    <n v="4396.500035172"/>
    <n v="5900"/>
    <n v="737.50000590000002"/>
    <n v="5134.0000410720004"/>
    <n v="0"/>
    <n v="1"/>
    <n v="0"/>
    <n v="0"/>
    <n v="0"/>
    <n v="0"/>
    <n v="0"/>
    <n v="0"/>
    <n v="0"/>
    <n v="0"/>
    <n v="0"/>
    <n v="0"/>
    <s v="Ladok 200831"/>
    <m/>
    <n v="0"/>
    <n v="0"/>
    <n v="0.125000001"/>
    <n v="0.125000001"/>
    <n v="0"/>
    <n v="0"/>
    <n v="0"/>
    <n v="0"/>
    <n v="0"/>
    <n v="0"/>
    <n v="0"/>
    <n v="0"/>
    <n v="0"/>
    <n v="0"/>
    <n v="0"/>
    <n v="0"/>
    <n v="0"/>
    <n v="0"/>
    <n v="0"/>
    <n v="0"/>
    <n v="0"/>
    <n v="0"/>
    <n v="0"/>
  </r>
  <r>
    <x v="3"/>
    <s v="Svenska/Nordiska språk B: Att forska om språk"/>
    <m/>
    <s v="LYLÄP"/>
    <m/>
    <s v="VT"/>
    <m/>
    <m/>
    <m/>
    <m/>
    <m/>
    <n v="50"/>
    <n v="7.5"/>
    <n v="2"/>
    <n v="0.24999999639999998"/>
    <n v="1"/>
    <n v="0.24999999639999998"/>
    <n v="1620"/>
    <s v="Inst för språkstudier"/>
    <s v="Hum"/>
    <s v="VAL-projektet"/>
    <n v="19097"/>
    <n v="16075"/>
    <n v="8792.9998733807988"/>
    <n v="5900"/>
    <n v="1474.99997876"/>
    <n v="10267.999852140798"/>
    <n v="0"/>
    <n v="1"/>
    <n v="0"/>
    <n v="0"/>
    <n v="0"/>
    <n v="0"/>
    <n v="0"/>
    <n v="0"/>
    <n v="0"/>
    <n v="0"/>
    <n v="0"/>
    <n v="0"/>
    <s v="Ladok 200831"/>
    <m/>
    <n v="0"/>
    <n v="0"/>
    <n v="0.24999999639999998"/>
    <n v="0.24999999639999998"/>
    <n v="0"/>
    <n v="0"/>
    <n v="0"/>
    <n v="0"/>
    <n v="0"/>
    <n v="0"/>
    <n v="0"/>
    <n v="0"/>
    <n v="0"/>
    <n v="0"/>
    <n v="0"/>
    <n v="0"/>
    <n v="0"/>
    <n v="0"/>
    <n v="0"/>
    <n v="0"/>
    <n v="0"/>
    <n v="0"/>
    <n v="0"/>
  </r>
  <r>
    <x v="4"/>
    <s v="Ryska A, Fonetik och muntlig språkfärdighet"/>
    <m/>
    <s v="LYLÄP"/>
    <m/>
    <s v="VT"/>
    <m/>
    <m/>
    <m/>
    <m/>
    <m/>
    <n v="25"/>
    <n v="7.5"/>
    <n v="1"/>
    <n v="0.124999994"/>
    <n v="1"/>
    <n v="0.124999994"/>
    <n v="1620"/>
    <s v="Inst för språkstudier"/>
    <s v="Hum"/>
    <s v="VAL-projektet"/>
    <n v="19097"/>
    <n v="16075"/>
    <n v="4396.4997889679998"/>
    <n v="5900"/>
    <n v="737.4999646"/>
    <n v="5133.9997535679995"/>
    <n v="0"/>
    <n v="1"/>
    <n v="0"/>
    <n v="0"/>
    <n v="0"/>
    <n v="0"/>
    <n v="0"/>
    <n v="0"/>
    <n v="0"/>
    <n v="0"/>
    <n v="0"/>
    <n v="0"/>
    <s v="Ladok 200831"/>
    <m/>
    <n v="0"/>
    <n v="0"/>
    <n v="0.124999994"/>
    <n v="0.124999994"/>
    <n v="0"/>
    <n v="0"/>
    <n v="0"/>
    <n v="0"/>
    <n v="0"/>
    <n v="0"/>
    <n v="0"/>
    <n v="0"/>
    <n v="0"/>
    <n v="0"/>
    <n v="0"/>
    <n v="0"/>
    <n v="0"/>
    <n v="0"/>
    <n v="0"/>
    <n v="0"/>
    <n v="0"/>
    <n v="0"/>
    <n v="0"/>
  </r>
  <r>
    <x v="5"/>
    <s v="Ryska B, Grammatik, skriftlig kommunikation och realia"/>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6"/>
    <s v="Spanska C, Lingvistik, litteratur och språkfärdighet"/>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7"/>
    <s v="Spanska, Examensarbete för kandidatexamen"/>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8"/>
    <s v="Spanska B (nätkurs)"/>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9"/>
    <s v="Biologididaktik för ämneslärare för åk 7-9"/>
    <m/>
    <s v="LYLÄP"/>
    <m/>
    <s v="VT"/>
    <m/>
    <m/>
    <m/>
    <m/>
    <m/>
    <n v="50"/>
    <n v="7.5"/>
    <n v="1"/>
    <n v="0.1249999985"/>
    <n v="1"/>
    <n v="0.1249999985"/>
    <n v="5740"/>
    <s v="NMD"/>
    <s v="TekNat"/>
    <s v="VAL-projektet"/>
    <n v="19863"/>
    <n v="35472"/>
    <n v="6916.8749169974999"/>
    <n v="22200"/>
    <n v="2774.9999667000002"/>
    <n v="9691.8748836974992"/>
    <n v="0"/>
    <n v="0"/>
    <n v="0"/>
    <n v="0"/>
    <n v="0"/>
    <n v="1"/>
    <n v="0"/>
    <n v="0"/>
    <n v="0"/>
    <n v="0"/>
    <n v="0"/>
    <n v="0"/>
    <s v="Ladok 200831"/>
    <m/>
    <n v="0"/>
    <n v="0"/>
    <n v="0"/>
    <n v="0"/>
    <n v="0"/>
    <n v="0"/>
    <n v="0"/>
    <n v="0"/>
    <n v="0"/>
    <n v="0"/>
    <n v="0.1249999985"/>
    <n v="0.1249999985"/>
    <n v="0"/>
    <n v="0"/>
    <n v="0"/>
    <n v="0"/>
    <n v="0"/>
    <n v="0"/>
    <n v="0"/>
    <n v="0"/>
    <n v="0"/>
    <n v="0"/>
    <n v="0"/>
  </r>
  <r>
    <x v="10"/>
    <s v="Bedömning - grundnivå (VAL, ULV)"/>
    <m/>
    <s v="LYLÄP"/>
    <m/>
    <s v="VT"/>
    <m/>
    <m/>
    <m/>
    <m/>
    <m/>
    <n v="50"/>
    <n v="7.5"/>
    <n v="53"/>
    <n v="6.6250001325000003"/>
    <n v="1"/>
    <n v="6.6250001325000003"/>
    <n v="5740"/>
    <s v="NMD"/>
    <s v="TekNat"/>
    <s v="VAL-projektet"/>
    <n v="24104"/>
    <n v="31432"/>
    <n v="367926.00735852"/>
    <n v="5900"/>
    <n v="39087.500781750001"/>
    <n v="407013.50814027002"/>
    <n v="0"/>
    <n v="0"/>
    <n v="0"/>
    <n v="1"/>
    <n v="0"/>
    <n v="0"/>
    <n v="0"/>
    <n v="0"/>
    <n v="0"/>
    <n v="0"/>
    <n v="0"/>
    <n v="0"/>
    <s v="Ladok 200831"/>
    <m/>
    <n v="0"/>
    <n v="0"/>
    <n v="0"/>
    <n v="0"/>
    <n v="0"/>
    <n v="0"/>
    <n v="6.6250001325000003"/>
    <n v="6.6250001325000003"/>
    <n v="0"/>
    <n v="0"/>
    <n v="0"/>
    <n v="0"/>
    <n v="0"/>
    <n v="0"/>
    <n v="0"/>
    <n v="0"/>
    <n v="0"/>
    <n v="0"/>
    <n v="0"/>
    <n v="0"/>
    <n v="0"/>
    <n v="0"/>
    <n v="0"/>
  </r>
  <r>
    <x v="11"/>
    <s v="Bedömning - avancerad nivå (VAL, ULV)"/>
    <m/>
    <s v="LYLÄP"/>
    <m/>
    <s v="VT"/>
    <m/>
    <m/>
    <m/>
    <m/>
    <m/>
    <n v="50"/>
    <n v="7.5"/>
    <n v="1"/>
    <n v="0.12500000250000001"/>
    <n v="1"/>
    <n v="0.12500000250000001"/>
    <n v="5740"/>
    <s v="NMD"/>
    <s v="TekNat"/>
    <s v="VAL-projektet"/>
    <n v="24104"/>
    <n v="31432"/>
    <n v="6942.0001388400005"/>
    <n v="5900"/>
    <n v="737.5000147500001"/>
    <n v="7679.500153590001"/>
    <n v="0"/>
    <n v="0"/>
    <n v="0"/>
    <n v="1"/>
    <n v="0"/>
    <n v="0"/>
    <n v="0"/>
    <n v="0"/>
    <n v="0"/>
    <n v="0"/>
    <n v="0"/>
    <n v="0"/>
    <s v="Ladok 200831"/>
    <m/>
    <n v="0"/>
    <n v="0"/>
    <n v="0"/>
    <n v="0"/>
    <n v="0"/>
    <n v="0"/>
    <n v="0.12500000250000001"/>
    <n v="0.12500000250000001"/>
    <n v="0"/>
    <n v="0"/>
    <n v="0"/>
    <n v="0"/>
    <n v="0"/>
    <n v="0"/>
    <n v="0"/>
    <n v="0"/>
    <n v="0"/>
    <n v="0"/>
    <n v="0"/>
    <n v="0"/>
    <n v="0"/>
    <n v="0"/>
    <n v="0"/>
  </r>
  <r>
    <x v="12"/>
    <s v="Vetenskap och kunskap - grundnivå (VAL, ULV)"/>
    <m/>
    <s v="LYLÄP"/>
    <m/>
    <s v="VT"/>
    <m/>
    <m/>
    <m/>
    <m/>
    <m/>
    <n v="50"/>
    <n v="7.5"/>
    <n v="28"/>
    <n v="3.5000000700000005"/>
    <n v="1"/>
    <n v="3.5000000700000005"/>
    <n v="5740"/>
    <s v="NMD"/>
    <s v="TekNat"/>
    <s v="VAL-projektet"/>
    <n v="24104"/>
    <n v="31432"/>
    <n v="194376.00388752"/>
    <n v="5900"/>
    <n v="20650.000413000002"/>
    <n v="215026.00430052"/>
    <n v="0"/>
    <n v="0"/>
    <n v="0"/>
    <n v="1"/>
    <n v="0"/>
    <n v="0"/>
    <n v="0"/>
    <n v="0"/>
    <n v="0"/>
    <n v="0"/>
    <n v="0"/>
    <n v="0"/>
    <s v="Ladok 200831"/>
    <m/>
    <n v="0"/>
    <n v="0"/>
    <n v="0"/>
    <n v="0"/>
    <n v="0"/>
    <n v="0"/>
    <n v="3.5000000700000005"/>
    <n v="3.5000000700000005"/>
    <n v="0"/>
    <n v="0"/>
    <n v="0"/>
    <n v="0"/>
    <n v="0"/>
    <n v="0"/>
    <n v="0"/>
    <n v="0"/>
    <n v="0"/>
    <n v="0"/>
    <n v="0"/>
    <n v="0"/>
    <n v="0"/>
    <n v="0"/>
    <n v="0"/>
  </r>
  <r>
    <x v="13"/>
    <s v="Examensarbete - estetiska ämnen"/>
    <m/>
    <s v="LYLÄP"/>
    <m/>
    <s v="VT"/>
    <m/>
    <m/>
    <m/>
    <m/>
    <m/>
    <n v="100"/>
    <n v="0"/>
    <n v="1"/>
    <n v="0"/>
    <n v="1"/>
    <n v="0"/>
    <n v="1650"/>
    <s v="Estetiska ämnen               "/>
    <s v="Hum"/>
    <s v="VAL-projektet"/>
    <n v="19097"/>
    <n v="16075"/>
    <n v="0"/>
    <n v="5900"/>
    <n v="0"/>
    <n v="0"/>
    <n v="0"/>
    <n v="1"/>
    <n v="0"/>
    <n v="0"/>
    <n v="0"/>
    <n v="0"/>
    <n v="0"/>
    <n v="0"/>
    <n v="0"/>
    <n v="0"/>
    <n v="0"/>
    <n v="0"/>
    <s v="Ladok 200831"/>
    <m/>
    <n v="0"/>
    <n v="0"/>
    <n v="0"/>
    <n v="0"/>
    <n v="0"/>
    <n v="0"/>
    <n v="0"/>
    <n v="0"/>
    <n v="0"/>
    <n v="0"/>
    <n v="0"/>
    <n v="0"/>
    <n v="0"/>
    <n v="0"/>
    <n v="0"/>
    <n v="0"/>
    <n v="0"/>
    <n v="0"/>
    <n v="0"/>
    <n v="0"/>
    <n v="0"/>
    <n v="0"/>
    <n v="0"/>
  </r>
  <r>
    <x v="14"/>
    <s v="Ämnesdidaktik i skolpraktiken, del 1"/>
    <m/>
    <s v="LYLÄP"/>
    <m/>
    <s v="VT"/>
    <m/>
    <m/>
    <m/>
    <m/>
    <m/>
    <n v="50"/>
    <n v="15"/>
    <n v="4"/>
    <n v="1.000000008"/>
    <n v="1"/>
    <n v="1.000000008"/>
    <n v="1650"/>
    <s v="Estetiska ämnen               "/>
    <s v="Hum"/>
    <s v="VAL-projektet"/>
    <n v="24740"/>
    <n v="27503"/>
    <n v="52243.000417944"/>
    <n v="3500"/>
    <n v="3500.0000279999999"/>
    <n v="55743.000445944002"/>
    <n v="0"/>
    <n v="0"/>
    <n v="0"/>
    <n v="0"/>
    <n v="0"/>
    <n v="0"/>
    <n v="0"/>
    <n v="0"/>
    <n v="1"/>
    <n v="0"/>
    <n v="0"/>
    <n v="0"/>
    <s v="Ladok 200831"/>
    <m/>
    <n v="0"/>
    <n v="0"/>
    <n v="0"/>
    <n v="0"/>
    <n v="0"/>
    <n v="0"/>
    <n v="0"/>
    <n v="0"/>
    <n v="0"/>
    <n v="0"/>
    <n v="0"/>
    <n v="0"/>
    <n v="0"/>
    <n v="0"/>
    <n v="0"/>
    <n v="0"/>
    <n v="1.000000008"/>
    <n v="1.000000008"/>
    <n v="0"/>
    <n v="0"/>
    <n v="0"/>
    <n v="0"/>
    <n v="0"/>
  </r>
  <r>
    <x v="15"/>
    <s v="Bild 1 distans"/>
    <m/>
    <s v="FRIST"/>
    <m/>
    <s v="VT"/>
    <m/>
    <m/>
    <m/>
    <m/>
    <m/>
    <n v="50"/>
    <n v="15"/>
    <n v="1"/>
    <n v="0.250000002"/>
    <n v="1"/>
    <n v="0.250000002"/>
    <n v="1650"/>
    <s v="Estetiska ämnen               "/>
    <s v="Hum"/>
    <s v="Fristående och övriga kurser"/>
    <n v="48895"/>
    <n v="58097"/>
    <n v="26748.000213984"/>
    <n v="70300"/>
    <n v="17575.000140600001"/>
    <n v="44323.000354584001"/>
    <n v="1"/>
    <n v="0"/>
    <n v="0"/>
    <n v="0"/>
    <n v="0"/>
    <n v="0"/>
    <n v="0"/>
    <n v="0"/>
    <n v="0"/>
    <n v="0"/>
    <n v="0"/>
    <n v="0"/>
    <s v="Ladok 200831"/>
    <m/>
    <n v="0.250000002"/>
    <n v="0.250000002"/>
    <n v="0"/>
    <n v="0"/>
    <n v="0"/>
    <n v="0"/>
    <n v="0"/>
    <n v="0"/>
    <n v="0"/>
    <n v="0"/>
    <n v="0"/>
    <n v="0"/>
    <n v="0"/>
    <n v="0"/>
    <n v="0"/>
    <n v="0"/>
    <n v="0"/>
    <n v="0"/>
    <n v="0"/>
    <n v="0"/>
    <n v="0"/>
    <n v="0"/>
    <n v="0"/>
  </r>
  <r>
    <x v="16"/>
    <s v="Bild 2b, distans"/>
    <m/>
    <s v="LYLÄP"/>
    <m/>
    <s v="VT"/>
    <m/>
    <m/>
    <m/>
    <m/>
    <m/>
    <n v="50"/>
    <n v="15"/>
    <n v="2"/>
    <n v="0.500000004"/>
    <n v="1"/>
    <n v="0.500000004"/>
    <n v="1650"/>
    <s v="Estetiska ämnen               "/>
    <s v="Hum"/>
    <s v="VAL-projektet"/>
    <n v="48895"/>
    <n v="58097"/>
    <n v="53496.000427968"/>
    <n v="70300"/>
    <n v="35150.000281200002"/>
    <n v="88646.000709168002"/>
    <n v="1"/>
    <n v="0"/>
    <n v="0"/>
    <n v="0"/>
    <n v="0"/>
    <n v="0"/>
    <n v="0"/>
    <n v="0"/>
    <n v="0"/>
    <n v="0"/>
    <n v="0"/>
    <n v="0"/>
    <s v="Ladok 200831"/>
    <m/>
    <n v="0.500000004"/>
    <n v="0.500000004"/>
    <n v="0"/>
    <n v="0"/>
    <n v="0"/>
    <n v="0"/>
    <n v="0"/>
    <n v="0"/>
    <n v="0"/>
    <n v="0"/>
    <n v="0"/>
    <n v="0"/>
    <n v="0"/>
    <n v="0"/>
    <n v="0"/>
    <n v="0"/>
    <n v="0"/>
    <n v="0"/>
    <n v="0"/>
    <n v="0"/>
    <n v="0"/>
    <n v="0"/>
    <n v="0"/>
  </r>
  <r>
    <x v="17"/>
    <s v="Skapande bild, distans"/>
    <m/>
    <s v="LYLÄP"/>
    <m/>
    <s v="VT"/>
    <m/>
    <m/>
    <m/>
    <m/>
    <m/>
    <n v="50"/>
    <n v="15"/>
    <n v="2"/>
    <n v="0.125000008"/>
    <n v="1"/>
    <n v="0.125000008"/>
    <n v="1650"/>
    <s v="Estetiska ämnen               "/>
    <s v="Hum"/>
    <s v="VAL-projektet"/>
    <n v="41445.5"/>
    <n v="47591.5"/>
    <n v="11129.625712296"/>
    <n v="54200"/>
    <n v="6775.0004336000002"/>
    <n v="17904.626145896"/>
    <n v="0.75"/>
    <n v="0.25"/>
    <n v="0"/>
    <n v="0"/>
    <n v="0"/>
    <n v="0"/>
    <n v="0"/>
    <n v="0"/>
    <n v="0"/>
    <n v="0"/>
    <n v="0"/>
    <n v="0"/>
    <s v="Ladok 200831"/>
    <m/>
    <n v="9.3750005999999997E-2"/>
    <n v="9.3750005999999997E-2"/>
    <n v="3.1250001999999999E-2"/>
    <n v="3.1250001999999999E-2"/>
    <n v="0"/>
    <n v="0"/>
    <n v="0"/>
    <n v="0"/>
    <n v="0"/>
    <n v="0"/>
    <n v="0"/>
    <n v="0"/>
    <n v="0"/>
    <n v="0"/>
    <n v="0"/>
    <n v="0"/>
    <n v="0"/>
    <n v="0"/>
    <n v="0"/>
    <n v="0"/>
    <n v="0"/>
    <n v="0"/>
    <n v="0"/>
  </r>
  <r>
    <x v="17"/>
    <s v="Skapande bild, distans"/>
    <m/>
    <s v="LYLÄP"/>
    <m/>
    <s v="VT"/>
    <m/>
    <m/>
    <m/>
    <m/>
    <m/>
    <n v="50"/>
    <n v="15"/>
    <n v="2"/>
    <n v="0.374999996"/>
    <n v="1"/>
    <n v="0.374999996"/>
    <n v="1650"/>
    <s v="Estetiska ämnen               "/>
    <s v="Hum"/>
    <s v="VAL-projektet"/>
    <n v="41445.5"/>
    <n v="47591.5"/>
    <n v="33388.874643852003"/>
    <n v="54200"/>
    <n v="20324.999783200001"/>
    <n v="53713.874427052004"/>
    <n v="0.75"/>
    <n v="0.25"/>
    <n v="0"/>
    <n v="0"/>
    <n v="0"/>
    <n v="0"/>
    <n v="0"/>
    <n v="0"/>
    <n v="0"/>
    <n v="0"/>
    <n v="0"/>
    <n v="0"/>
    <s v="Ladok 200831"/>
    <m/>
    <n v="0.28124999699999997"/>
    <n v="0.28124999699999997"/>
    <n v="9.3749999000000001E-2"/>
    <n v="9.3749999000000001E-2"/>
    <n v="0"/>
    <n v="0"/>
    <n v="0"/>
    <n v="0"/>
    <n v="0"/>
    <n v="0"/>
    <n v="0"/>
    <n v="0"/>
    <n v="0"/>
    <n v="0"/>
    <n v="0"/>
    <n v="0"/>
    <n v="0"/>
    <n v="0"/>
    <n v="0"/>
    <n v="0"/>
    <n v="0"/>
    <n v="0"/>
    <n v="0"/>
  </r>
  <r>
    <x v="17"/>
    <s v="Skapande bild, distans"/>
    <m/>
    <s v="FRIST"/>
    <m/>
    <s v="VT"/>
    <m/>
    <m/>
    <m/>
    <m/>
    <m/>
    <n v="50"/>
    <n v="15"/>
    <n v="2"/>
    <n v="0.125000008"/>
    <n v="1"/>
    <n v="0.125000008"/>
    <n v="1650"/>
    <s v="Estetiska ämnen               "/>
    <s v="Hum"/>
    <s v="Fristående och övriga kurser"/>
    <n v="41445.5"/>
    <n v="47591.5"/>
    <n v="11129.625712296"/>
    <n v="54200"/>
    <n v="6775.0004336000002"/>
    <n v="17904.626145896"/>
    <n v="0.75"/>
    <n v="0.25"/>
    <n v="0"/>
    <n v="0"/>
    <n v="0"/>
    <n v="0"/>
    <n v="0"/>
    <n v="0"/>
    <n v="0"/>
    <n v="0"/>
    <n v="0"/>
    <n v="0"/>
    <s v="Ladok 200831"/>
    <m/>
    <n v="9.3750005999999997E-2"/>
    <n v="9.3750005999999997E-2"/>
    <n v="3.1250001999999999E-2"/>
    <n v="3.1250001999999999E-2"/>
    <n v="0"/>
    <n v="0"/>
    <n v="0"/>
    <n v="0"/>
    <n v="0"/>
    <n v="0"/>
    <n v="0"/>
    <n v="0"/>
    <n v="0"/>
    <n v="0"/>
    <n v="0"/>
    <n v="0"/>
    <n v="0"/>
    <n v="0"/>
    <n v="0"/>
    <n v="0"/>
    <n v="0"/>
    <n v="0"/>
    <n v="0"/>
  </r>
  <r>
    <x v="17"/>
    <s v="Skapande bild, distans"/>
    <m/>
    <s v="FRIST"/>
    <m/>
    <s v="VT"/>
    <m/>
    <m/>
    <m/>
    <m/>
    <m/>
    <n v="50"/>
    <n v="15"/>
    <n v="2"/>
    <n v="0.374999996"/>
    <n v="1"/>
    <n v="0.374999996"/>
    <n v="1650"/>
    <s v="Estetiska ämnen               "/>
    <s v="Hum"/>
    <s v="Fristående och övriga kurser"/>
    <n v="41445.5"/>
    <n v="47591.5"/>
    <n v="33388.874643852003"/>
    <n v="54200"/>
    <n v="20324.999783200001"/>
    <n v="53713.874427052004"/>
    <n v="0.75"/>
    <n v="0.25"/>
    <n v="0"/>
    <n v="0"/>
    <n v="0"/>
    <n v="0"/>
    <n v="0"/>
    <n v="0"/>
    <n v="0"/>
    <n v="0"/>
    <n v="0"/>
    <n v="0"/>
    <s v="Ladok 200831"/>
    <m/>
    <n v="0.28124999699999997"/>
    <n v="0.28124999699999997"/>
    <n v="9.3749999000000001E-2"/>
    <n v="9.3749999000000001E-2"/>
    <n v="0"/>
    <n v="0"/>
    <n v="0"/>
    <n v="0"/>
    <n v="0"/>
    <n v="0"/>
    <n v="0"/>
    <n v="0"/>
    <n v="0"/>
    <n v="0"/>
    <n v="0"/>
    <n v="0"/>
    <n v="0"/>
    <n v="0"/>
    <n v="0"/>
    <n v="0"/>
    <n v="0"/>
    <n v="0"/>
    <n v="0"/>
  </r>
  <r>
    <x v="18"/>
    <s v="Idrott och hälsa 3"/>
    <m/>
    <s v="LYLÄP"/>
    <m/>
    <s v="VT"/>
    <m/>
    <m/>
    <m/>
    <m/>
    <m/>
    <n v="100"/>
    <n v="30"/>
    <n v="1"/>
    <n v="0.500000004"/>
    <n v="1"/>
    <n v="0.500000004"/>
    <n v="2180"/>
    <s v="Pedagogik                     "/>
    <s v="Sam"/>
    <s v="VAL-projektet"/>
    <n v="45856"/>
    <n v="34830"/>
    <n v="40343.000322744003"/>
    <n v="35200"/>
    <n v="17600.000140799999"/>
    <n v="57943.000463543998"/>
    <n v="0"/>
    <n v="0"/>
    <n v="1"/>
    <n v="0"/>
    <n v="0"/>
    <n v="0"/>
    <n v="0"/>
    <n v="0"/>
    <n v="0"/>
    <n v="0"/>
    <n v="0"/>
    <n v="0"/>
    <s v="Ladok 200831"/>
    <m/>
    <n v="0"/>
    <n v="0"/>
    <n v="0"/>
    <n v="0"/>
    <n v="0.500000004"/>
    <n v="0.500000004"/>
    <n v="0"/>
    <n v="0"/>
    <n v="0"/>
    <n v="0"/>
    <n v="0"/>
    <n v="0"/>
    <n v="0"/>
    <n v="0"/>
    <n v="0"/>
    <n v="0"/>
    <n v="0"/>
    <n v="0"/>
    <n v="0"/>
    <n v="0"/>
    <n v="0"/>
    <n v="0"/>
    <n v="0"/>
  </r>
  <r>
    <x v="19"/>
    <s v="Kemididaktik för ämneslärare för åk 7-9"/>
    <m/>
    <s v="LYLÄP"/>
    <m/>
    <s v="VT"/>
    <m/>
    <m/>
    <m/>
    <m/>
    <m/>
    <n v="50"/>
    <n v="7.5"/>
    <n v="1"/>
    <n v="0.1249999985"/>
    <n v="1"/>
    <n v="0.1249999985"/>
    <n v="5740"/>
    <s v="NMD"/>
    <s v="TekNat"/>
    <s v="VAL-projektet"/>
    <n v="19863"/>
    <n v="35472"/>
    <n v="6916.8749169974999"/>
    <n v="22200"/>
    <n v="2774.9999667000002"/>
    <n v="9691.8748836974992"/>
    <n v="0"/>
    <n v="0"/>
    <n v="0"/>
    <n v="0"/>
    <n v="0"/>
    <n v="1"/>
    <n v="0"/>
    <n v="0"/>
    <n v="0"/>
    <n v="0"/>
    <n v="0"/>
    <n v="0"/>
    <s v="Ladok 200831"/>
    <m/>
    <n v="0"/>
    <n v="0"/>
    <n v="0"/>
    <n v="0"/>
    <n v="0"/>
    <n v="0"/>
    <n v="0"/>
    <n v="0"/>
    <n v="0"/>
    <n v="0"/>
    <n v="0.1249999985"/>
    <n v="0.1249999985"/>
    <n v="0"/>
    <n v="0"/>
    <n v="0"/>
    <n v="0"/>
    <n v="0"/>
    <n v="0"/>
    <n v="0"/>
    <n v="0"/>
    <n v="0"/>
    <n v="0"/>
    <n v="0"/>
  </r>
  <r>
    <x v="20"/>
    <s v="Hem- och konsumentkunskap A"/>
    <m/>
    <s v="LYLÄP"/>
    <m/>
    <s v="VT"/>
    <m/>
    <m/>
    <m/>
    <m/>
    <m/>
    <n v="100"/>
    <n v="30"/>
    <n v="1"/>
    <n v="0.500000004"/>
    <n v="1"/>
    <n v="0.500000004"/>
    <n v="2650"/>
    <s v="Kostvetenskap                 "/>
    <s v="Sam"/>
    <s v="VAL-projektet"/>
    <n v="19863"/>
    <n v="35472"/>
    <n v="27667.50022134"/>
    <n v="22200"/>
    <n v="11100.0000888"/>
    <n v="38767.50031014"/>
    <n v="0"/>
    <n v="0"/>
    <n v="0"/>
    <n v="0"/>
    <n v="0"/>
    <n v="1"/>
    <n v="0"/>
    <n v="0"/>
    <n v="0"/>
    <n v="0"/>
    <n v="0"/>
    <n v="0"/>
    <s v="Ladok 200831"/>
    <m/>
    <n v="0"/>
    <n v="0"/>
    <n v="0"/>
    <n v="0"/>
    <n v="0"/>
    <n v="0"/>
    <n v="0"/>
    <n v="0"/>
    <n v="0"/>
    <n v="0"/>
    <n v="0.500000004"/>
    <n v="0.500000004"/>
    <n v="0"/>
    <n v="0"/>
    <n v="0"/>
    <n v="0"/>
    <n v="0"/>
    <n v="0"/>
    <n v="0"/>
    <n v="0"/>
    <n v="0"/>
    <n v="0"/>
    <n v="0"/>
  </r>
  <r>
    <x v="21"/>
    <s v="Hälsokommunikation och sociologiska perspektiv inom hem- och konsumentkunskap"/>
    <m/>
    <s v="LYLÄP"/>
    <m/>
    <s v="VT"/>
    <m/>
    <m/>
    <m/>
    <m/>
    <m/>
    <n v="33"/>
    <n v="7.5"/>
    <n v="5"/>
    <n v="0.62500000499999997"/>
    <n v="1"/>
    <n v="0.62500000499999997"/>
    <n v="2650"/>
    <s v="Kostvetenskap                 "/>
    <s v="Sam"/>
    <s v="VAL-projektet"/>
    <n v="19097"/>
    <n v="16075"/>
    <n v="21982.500175859997"/>
    <n v="5900"/>
    <n v="3687.5000295"/>
    <n v="25670.000205359996"/>
    <n v="0"/>
    <n v="0"/>
    <n v="0"/>
    <n v="0"/>
    <n v="0"/>
    <n v="0"/>
    <n v="1"/>
    <n v="0"/>
    <n v="0"/>
    <n v="0"/>
    <n v="0"/>
    <n v="0"/>
    <s v="Ladok 200831"/>
    <m/>
    <n v="0"/>
    <n v="0"/>
    <n v="0"/>
    <n v="0"/>
    <n v="0"/>
    <n v="0"/>
    <n v="0"/>
    <n v="0"/>
    <n v="0"/>
    <n v="0"/>
    <n v="0"/>
    <n v="0"/>
    <n v="0.62500000499999997"/>
    <n v="0.62500000499999997"/>
    <n v="0"/>
    <n v="0"/>
    <n v="0"/>
    <n v="0"/>
    <n v="0"/>
    <n v="0"/>
    <n v="0"/>
    <n v="0"/>
    <n v="0"/>
  </r>
  <r>
    <x v="22"/>
    <s v="Vetenskaplig metod med inriktning hem- och konsumentkunskap"/>
    <m/>
    <s v="LYLÄP"/>
    <m/>
    <s v="VT"/>
    <m/>
    <m/>
    <m/>
    <m/>
    <m/>
    <n v="100"/>
    <n v="7.5"/>
    <n v="7"/>
    <n v="0.87500000770000008"/>
    <n v="1"/>
    <n v="0.87500000770000008"/>
    <n v="2650"/>
    <s v="Kostvetenskap                 "/>
    <s v="Sam"/>
    <s v="VAL-projektet"/>
    <n v="19097"/>
    <n v="16075"/>
    <n v="30775.500270824406"/>
    <n v="5900"/>
    <n v="5162.5000454300007"/>
    <n v="35938.000316254409"/>
    <n v="0"/>
    <n v="0"/>
    <n v="0"/>
    <n v="0"/>
    <n v="0"/>
    <n v="0"/>
    <n v="1"/>
    <n v="0"/>
    <n v="0"/>
    <n v="0"/>
    <n v="0"/>
    <n v="0"/>
    <s v="Ladok 200831"/>
    <m/>
    <n v="0"/>
    <n v="0"/>
    <n v="0"/>
    <n v="0"/>
    <n v="0"/>
    <n v="0"/>
    <n v="0"/>
    <n v="0"/>
    <n v="0"/>
    <n v="0"/>
    <n v="0"/>
    <n v="0"/>
    <n v="0.87500000770000008"/>
    <n v="0.87500000770000008"/>
    <n v="0"/>
    <n v="0"/>
    <n v="0"/>
    <n v="0"/>
    <n v="0"/>
    <n v="0"/>
    <n v="0"/>
    <n v="0"/>
    <n v="0"/>
  </r>
  <r>
    <x v="23"/>
    <s v="Uppsats med inriktning hem- och konsumentkunskap"/>
    <m/>
    <s v="LYLÄP"/>
    <m/>
    <s v="VT"/>
    <m/>
    <m/>
    <m/>
    <m/>
    <m/>
    <n v="67"/>
    <n v="15"/>
    <n v="7"/>
    <n v="1.7500000371"/>
    <n v="1"/>
    <n v="1.7500000371"/>
    <n v="2650"/>
    <s v="Kostvetenskap                 "/>
    <s v="Sam"/>
    <s v="VAL-projektet"/>
    <n v="19097"/>
    <n v="16075"/>
    <n v="61551.001304881196"/>
    <n v="5900"/>
    <n v="10325.00021889"/>
    <n v="71876.001523771192"/>
    <n v="0"/>
    <n v="0"/>
    <n v="0"/>
    <n v="0"/>
    <n v="0"/>
    <n v="0"/>
    <n v="1"/>
    <n v="0"/>
    <n v="0"/>
    <n v="0"/>
    <n v="0"/>
    <n v="0"/>
    <s v="Ladok 200831"/>
    <m/>
    <n v="0"/>
    <n v="0"/>
    <n v="0"/>
    <n v="0"/>
    <n v="0"/>
    <n v="0"/>
    <n v="0"/>
    <n v="0"/>
    <n v="0"/>
    <n v="0"/>
    <n v="0"/>
    <n v="0"/>
    <n v="1.7500000371"/>
    <n v="1.7500000371"/>
    <n v="0"/>
    <n v="0"/>
    <n v="0"/>
    <n v="0"/>
    <n v="0"/>
    <n v="0"/>
    <n v="0"/>
    <n v="0"/>
    <n v="0"/>
  </r>
  <r>
    <x v="24"/>
    <s v="Skolmusikal"/>
    <m/>
    <s v="LYLÄP"/>
    <m/>
    <s v="VT"/>
    <m/>
    <m/>
    <m/>
    <m/>
    <m/>
    <n v="25"/>
    <n v="7.5"/>
    <n v="1"/>
    <n v="0.124999994"/>
    <n v="1"/>
    <n v="0.124999994"/>
    <n v="1650"/>
    <s v="Estetiska ämnen               "/>
    <s v="Hum"/>
    <s v="VAL-projektet"/>
    <n v="31433"/>
    <n v="65018"/>
    <n v="12056.374421294"/>
    <n v="71400"/>
    <n v="8924.9995715999994"/>
    <n v="20981.373992893998"/>
    <n v="0"/>
    <n v="0"/>
    <n v="0"/>
    <n v="0"/>
    <n v="1"/>
    <n v="0"/>
    <n v="0"/>
    <n v="0"/>
    <n v="0"/>
    <n v="0"/>
    <n v="0"/>
    <n v="0"/>
    <s v="Ladok 200831"/>
    <m/>
    <n v="0"/>
    <n v="0"/>
    <n v="0"/>
    <n v="0"/>
    <n v="0"/>
    <n v="0"/>
    <n v="0"/>
    <n v="0"/>
    <n v="0.124999994"/>
    <n v="0.124999994"/>
    <n v="0"/>
    <n v="0"/>
    <n v="0"/>
    <n v="0"/>
    <n v="0"/>
    <n v="0"/>
    <n v="0"/>
    <n v="0"/>
    <n v="0"/>
    <n v="0"/>
    <n v="0"/>
    <n v="0"/>
    <n v="0"/>
  </r>
  <r>
    <x v="25"/>
    <s v="Läs - och skrivutveckling, kurs 2"/>
    <m/>
    <s v="LYLÄP"/>
    <m/>
    <s v="VT"/>
    <m/>
    <m/>
    <m/>
    <m/>
    <m/>
    <n v="50"/>
    <n v="7.5"/>
    <n v="10"/>
    <n v="1.2500000250000001"/>
    <n v="1"/>
    <n v="1.2500000250000001"/>
    <n v="1620"/>
    <s v="Inst för språkstudier"/>
    <s v="Hum"/>
    <s v="VAL-projektet"/>
    <n v="19097"/>
    <n v="16075"/>
    <n v="43965.000879300002"/>
    <n v="5900"/>
    <n v="7375.0001475000008"/>
    <n v="51340.001026800004"/>
    <n v="0"/>
    <n v="1"/>
    <n v="0"/>
    <n v="0"/>
    <n v="0"/>
    <n v="0"/>
    <n v="0"/>
    <n v="0"/>
    <n v="0"/>
    <n v="0"/>
    <n v="0"/>
    <n v="0"/>
    <s v="Ladok 200831"/>
    <m/>
    <n v="0"/>
    <n v="0"/>
    <n v="1.2500000250000001"/>
    <n v="1.2500000250000001"/>
    <n v="0"/>
    <n v="0"/>
    <n v="0"/>
    <n v="0"/>
    <n v="0"/>
    <n v="0"/>
    <n v="0"/>
    <n v="0"/>
    <n v="0"/>
    <n v="0"/>
    <n v="0"/>
    <n v="0"/>
    <n v="0"/>
    <n v="0"/>
    <n v="0"/>
    <n v="0"/>
    <n v="0"/>
    <n v="0"/>
    <n v="0"/>
  </r>
  <r>
    <x v="26"/>
    <s v="Problemlösning och matematiska resonemang"/>
    <m/>
    <s v="LYLÄP"/>
    <m/>
    <s v="VT"/>
    <m/>
    <m/>
    <m/>
    <m/>
    <m/>
    <n v="100"/>
    <n v="7.5"/>
    <n v="2"/>
    <n v="0.12500000040000001"/>
    <n v="1"/>
    <n v="0.12500000040000001"/>
    <n v="5730"/>
    <s v="Inst för MA och MA statistik"/>
    <s v="TekNat"/>
    <s v="VAL-projektet"/>
    <n v="19863"/>
    <n v="35472"/>
    <n v="6916.8750221340006"/>
    <n v="22200"/>
    <n v="2775.0000088800002"/>
    <n v="9691.8750310140003"/>
    <n v="0"/>
    <n v="0"/>
    <n v="0"/>
    <n v="0"/>
    <n v="0"/>
    <n v="0.5"/>
    <n v="0"/>
    <n v="0.5"/>
    <n v="0"/>
    <n v="0"/>
    <n v="0"/>
    <n v="0"/>
    <s v="Ladok 200831"/>
    <m/>
    <n v="0"/>
    <n v="0"/>
    <n v="0"/>
    <n v="0"/>
    <n v="0"/>
    <n v="0"/>
    <n v="0"/>
    <n v="0"/>
    <n v="0"/>
    <n v="0"/>
    <n v="6.2500000200000003E-2"/>
    <n v="6.2500000200000003E-2"/>
    <n v="0"/>
    <n v="0"/>
    <n v="6.2500000200000003E-2"/>
    <n v="6.2500000200000003E-2"/>
    <n v="0"/>
    <n v="0"/>
    <n v="0"/>
    <n v="0"/>
    <n v="0"/>
    <n v="0"/>
    <n v="0"/>
  </r>
  <r>
    <x v="27"/>
    <s v="Examensarbete för ämneslärarexamen - Matematik"/>
    <m/>
    <s v="LYLÄP"/>
    <m/>
    <s v="VT"/>
    <m/>
    <m/>
    <m/>
    <m/>
    <m/>
    <n v="100"/>
    <n v="22.5"/>
    <n v="1"/>
    <n v="0.37500000119999999"/>
    <n v="1"/>
    <n v="0.37500000119999999"/>
    <n v="5740"/>
    <s v="NMD"/>
    <s v="TekNat"/>
    <s v="VAL-projektet"/>
    <n v="19863"/>
    <n v="35472"/>
    <n v="20750.625066402001"/>
    <n v="22200"/>
    <n v="8325.0000266400002"/>
    <n v="29075.625093041999"/>
    <n v="0"/>
    <n v="0"/>
    <n v="0"/>
    <n v="0"/>
    <n v="0"/>
    <n v="1"/>
    <n v="0"/>
    <n v="0"/>
    <n v="0"/>
    <n v="0"/>
    <n v="0"/>
    <n v="0"/>
    <s v="Ladok 200831"/>
    <m/>
    <n v="0"/>
    <n v="0"/>
    <n v="0"/>
    <n v="0"/>
    <n v="0"/>
    <n v="0"/>
    <n v="0"/>
    <n v="0"/>
    <n v="0"/>
    <n v="0"/>
    <n v="0.37500000119999999"/>
    <n v="0.37500000119999999"/>
    <n v="0"/>
    <n v="0"/>
    <n v="0"/>
    <n v="0"/>
    <n v="0"/>
    <n v="0"/>
    <n v="0"/>
    <n v="0"/>
    <n v="0"/>
    <n v="0"/>
    <n v="0"/>
  </r>
  <r>
    <x v="28"/>
    <s v="Matematik 1 för lärande och undervisning för förskoleklass och grundskolans årskurs 1-6"/>
    <m/>
    <s v="LYLÄP"/>
    <m/>
    <s v="VT"/>
    <m/>
    <m/>
    <m/>
    <m/>
    <m/>
    <n v="50"/>
    <n v="15"/>
    <n v="3"/>
    <n v="0.75000000600000005"/>
    <n v="1"/>
    <n v="0.75000000600000005"/>
    <n v="5740"/>
    <s v="NMD"/>
    <s v="TekNat"/>
    <s v="VAL-projektet"/>
    <n v="19863"/>
    <n v="35472"/>
    <n v="41501.25033201"/>
    <n v="22200"/>
    <n v="16650.000133200003"/>
    <n v="58151.250465210003"/>
    <n v="0"/>
    <n v="0"/>
    <n v="0"/>
    <n v="0"/>
    <n v="0"/>
    <n v="1"/>
    <n v="0"/>
    <n v="0"/>
    <n v="0"/>
    <n v="0"/>
    <n v="0"/>
    <n v="0"/>
    <s v="Ladok 200831"/>
    <m/>
    <n v="0"/>
    <n v="0"/>
    <n v="0"/>
    <n v="0"/>
    <n v="0"/>
    <n v="0"/>
    <n v="0"/>
    <n v="0"/>
    <n v="0"/>
    <n v="0"/>
    <n v="0.75000000600000005"/>
    <n v="0.75000000600000005"/>
    <n v="0"/>
    <n v="0"/>
    <n v="0"/>
    <n v="0"/>
    <n v="0"/>
    <n v="0"/>
    <n v="0"/>
    <n v="0"/>
    <n v="0"/>
    <n v="0"/>
    <n v="0"/>
  </r>
  <r>
    <x v="29"/>
    <s v="Matematikdidaktik 1 för grundskolans åk 7-9 och gymnasiet"/>
    <m/>
    <s v="LYLÄP"/>
    <m/>
    <s v="VT"/>
    <m/>
    <m/>
    <m/>
    <m/>
    <m/>
    <n v="100"/>
    <n v="7.5"/>
    <n v="2"/>
    <n v="0.25000000160000002"/>
    <n v="1"/>
    <n v="0.25000000160000002"/>
    <n v="5740"/>
    <s v="NMD"/>
    <s v="TekNat"/>
    <s v="VAL-projektet"/>
    <n v="19863"/>
    <n v="35472"/>
    <n v="13833.750088536002"/>
    <n v="22200"/>
    <n v="5550.0000355200009"/>
    <n v="19383.750124056001"/>
    <n v="0"/>
    <n v="0"/>
    <n v="0"/>
    <n v="0"/>
    <n v="0"/>
    <n v="1"/>
    <n v="0"/>
    <n v="0"/>
    <n v="0"/>
    <n v="0"/>
    <n v="0"/>
    <n v="0"/>
    <s v="Ladok 200831"/>
    <m/>
    <n v="0"/>
    <n v="0"/>
    <n v="0"/>
    <n v="0"/>
    <n v="0"/>
    <n v="0"/>
    <n v="0"/>
    <n v="0"/>
    <n v="0"/>
    <n v="0"/>
    <n v="0.25000000160000002"/>
    <n v="0.25000000160000002"/>
    <n v="0"/>
    <n v="0"/>
    <n v="0"/>
    <n v="0"/>
    <n v="0"/>
    <n v="0"/>
    <n v="0"/>
    <n v="0"/>
    <n v="0"/>
    <n v="0"/>
    <n v="0"/>
  </r>
  <r>
    <x v="30"/>
    <s v="Musik 1, distans"/>
    <m/>
    <s v="LYLÄP"/>
    <m/>
    <s v="VT"/>
    <m/>
    <m/>
    <m/>
    <m/>
    <m/>
    <n v="50"/>
    <n v="15"/>
    <n v="3"/>
    <n v="0.75000000600000005"/>
    <n v="1"/>
    <n v="0.75000000600000005"/>
    <n v="1650"/>
    <s v="Estetiska ämnen               "/>
    <s v="Hum"/>
    <s v="VAL-projektet"/>
    <n v="31433"/>
    <n v="65018"/>
    <n v="72338.250578706007"/>
    <n v="71400"/>
    <n v="53550.000428400002"/>
    <n v="125888.25100710601"/>
    <n v="0"/>
    <n v="0"/>
    <n v="0"/>
    <n v="0"/>
    <n v="1"/>
    <n v="0"/>
    <n v="0"/>
    <n v="0"/>
    <n v="0"/>
    <n v="0"/>
    <n v="0"/>
    <n v="0"/>
    <s v="Ladok 200831"/>
    <m/>
    <n v="0"/>
    <n v="0"/>
    <n v="0"/>
    <n v="0"/>
    <n v="0"/>
    <n v="0"/>
    <n v="0"/>
    <n v="0"/>
    <n v="0.75000000600000005"/>
    <n v="0.75000000600000005"/>
    <n v="0"/>
    <n v="0"/>
    <n v="0"/>
    <n v="0"/>
    <n v="0"/>
    <n v="0"/>
    <n v="0"/>
    <n v="0"/>
    <n v="0"/>
    <n v="0"/>
    <n v="0"/>
    <n v="0"/>
    <n v="0"/>
  </r>
  <r>
    <x v="30"/>
    <s v="Musik 1, distans"/>
    <m/>
    <s v="FRIST"/>
    <m/>
    <s v="VT"/>
    <m/>
    <m/>
    <m/>
    <m/>
    <m/>
    <n v="50"/>
    <n v="15"/>
    <n v="1"/>
    <n v="0.250000002"/>
    <n v="1"/>
    <n v="0.250000002"/>
    <n v="1650"/>
    <s v="Estetiska ämnen               "/>
    <s v="Hum"/>
    <s v="Fristående och övriga kurser"/>
    <n v="31433"/>
    <n v="65018"/>
    <n v="24112.750192902"/>
    <n v="71400"/>
    <n v="17850.0001428"/>
    <n v="41962.750335702003"/>
    <n v="0"/>
    <n v="0"/>
    <n v="0"/>
    <n v="0"/>
    <n v="1"/>
    <n v="0"/>
    <n v="0"/>
    <n v="0"/>
    <n v="0"/>
    <n v="0"/>
    <n v="0"/>
    <n v="0"/>
    <s v="Ladok 200831"/>
    <m/>
    <n v="0"/>
    <n v="0"/>
    <n v="0"/>
    <n v="0"/>
    <n v="0"/>
    <n v="0"/>
    <n v="0"/>
    <n v="0"/>
    <n v="0.250000002"/>
    <n v="0.250000002"/>
    <n v="0"/>
    <n v="0"/>
    <n v="0"/>
    <n v="0"/>
    <n v="0"/>
    <n v="0"/>
    <n v="0"/>
    <n v="0"/>
    <n v="0"/>
    <n v="0"/>
    <n v="0"/>
    <n v="0"/>
    <n v="0"/>
  </r>
  <r>
    <x v="31"/>
    <s v="Musik 2, distans"/>
    <m/>
    <s v="LYLÄP"/>
    <m/>
    <s v="VT"/>
    <m/>
    <m/>
    <m/>
    <m/>
    <m/>
    <n v="50"/>
    <n v="15"/>
    <n v="5"/>
    <n v="1.2500000099999999"/>
    <n v="1"/>
    <n v="1.2500000099999999"/>
    <n v="1650"/>
    <s v="Estetiska ämnen               "/>
    <s v="Hum"/>
    <s v="VAL-projektet"/>
    <n v="31433"/>
    <n v="65018"/>
    <n v="120563.75096450999"/>
    <n v="71400"/>
    <n v="89250.000713999994"/>
    <n v="209813.75167850999"/>
    <n v="0"/>
    <n v="0"/>
    <n v="0"/>
    <n v="0"/>
    <n v="1"/>
    <n v="0"/>
    <n v="0"/>
    <n v="0"/>
    <n v="0"/>
    <n v="0"/>
    <n v="0"/>
    <n v="0"/>
    <s v="Ladok 200831"/>
    <m/>
    <n v="0"/>
    <n v="0"/>
    <n v="0"/>
    <n v="0"/>
    <n v="0"/>
    <n v="0"/>
    <n v="0"/>
    <n v="0"/>
    <n v="1.2500000099999999"/>
    <n v="1.2500000099999999"/>
    <n v="0"/>
    <n v="0"/>
    <n v="0"/>
    <n v="0"/>
    <n v="0"/>
    <n v="0"/>
    <n v="0"/>
    <n v="0"/>
    <n v="0"/>
    <n v="0"/>
    <n v="0"/>
    <n v="0"/>
    <n v="0"/>
  </r>
  <r>
    <x v="31"/>
    <s v="Musik 2, distans"/>
    <m/>
    <s v="FRIST"/>
    <m/>
    <s v="VT"/>
    <m/>
    <m/>
    <m/>
    <m/>
    <m/>
    <n v="50"/>
    <n v="15"/>
    <n v="3"/>
    <n v="0.75000000600000005"/>
    <n v="1"/>
    <n v="0.75000000600000005"/>
    <n v="1650"/>
    <s v="Estetiska ämnen               "/>
    <s v="Hum"/>
    <s v="Fristående och övriga kurser"/>
    <n v="31433"/>
    <n v="65018"/>
    <n v="72338.250578706007"/>
    <n v="71400"/>
    <n v="53550.000428400002"/>
    <n v="125888.25100710601"/>
    <n v="0"/>
    <n v="0"/>
    <n v="0"/>
    <n v="0"/>
    <n v="1"/>
    <n v="0"/>
    <n v="0"/>
    <n v="0"/>
    <n v="0"/>
    <n v="0"/>
    <n v="0"/>
    <n v="0"/>
    <s v="Ladok 200831"/>
    <m/>
    <n v="0"/>
    <n v="0"/>
    <n v="0"/>
    <n v="0"/>
    <n v="0"/>
    <n v="0"/>
    <n v="0"/>
    <n v="0"/>
    <n v="0.75000000600000005"/>
    <n v="0.75000000600000005"/>
    <n v="0"/>
    <n v="0"/>
    <n v="0"/>
    <n v="0"/>
    <n v="0"/>
    <n v="0"/>
    <n v="0"/>
    <n v="0"/>
    <n v="0"/>
    <n v="0"/>
    <n v="0"/>
    <n v="0"/>
    <n v="0"/>
  </r>
  <r>
    <x v="32"/>
    <s v="Musik 3, distans"/>
    <m/>
    <s v="LYLÄP"/>
    <m/>
    <s v="VT"/>
    <m/>
    <m/>
    <m/>
    <m/>
    <m/>
    <n v="50"/>
    <n v="15"/>
    <n v="1"/>
    <n v="0.250000002"/>
    <n v="1"/>
    <n v="0.250000002"/>
    <n v="1650"/>
    <s v="Estetiska ämnen               "/>
    <s v="Hum"/>
    <s v="VAL-projektet"/>
    <n v="31433"/>
    <n v="65018"/>
    <n v="24112.750192902"/>
    <n v="71400"/>
    <n v="17850.0001428"/>
    <n v="41962.750335702003"/>
    <n v="0"/>
    <n v="0"/>
    <n v="0"/>
    <n v="0"/>
    <n v="1"/>
    <n v="0"/>
    <n v="0"/>
    <n v="0"/>
    <n v="0"/>
    <n v="0"/>
    <n v="0"/>
    <n v="0"/>
    <s v="Ladok 200831"/>
    <m/>
    <n v="0"/>
    <n v="0"/>
    <n v="0"/>
    <n v="0"/>
    <n v="0"/>
    <n v="0"/>
    <n v="0"/>
    <n v="0"/>
    <n v="0.250000002"/>
    <n v="0.250000002"/>
    <n v="0"/>
    <n v="0"/>
    <n v="0"/>
    <n v="0"/>
    <n v="0"/>
    <n v="0"/>
    <n v="0"/>
    <n v="0"/>
    <n v="0"/>
    <n v="0"/>
    <n v="0"/>
    <n v="0"/>
    <n v="0"/>
  </r>
  <r>
    <x v="32"/>
    <s v="Musik 3, distans"/>
    <m/>
    <s v="FRIST"/>
    <m/>
    <s v="VT"/>
    <m/>
    <m/>
    <m/>
    <m/>
    <m/>
    <n v="50"/>
    <n v="15"/>
    <n v="1"/>
    <n v="0.250000002"/>
    <n v="1"/>
    <n v="0.250000002"/>
    <n v="1650"/>
    <s v="Estetiska ämnen               "/>
    <s v="Hum"/>
    <s v="Fristående och övriga kurser"/>
    <n v="31433"/>
    <n v="65018"/>
    <n v="24112.750192902"/>
    <n v="71400"/>
    <n v="17850.0001428"/>
    <n v="41962.750335702003"/>
    <n v="0"/>
    <n v="0"/>
    <n v="0"/>
    <n v="0"/>
    <n v="1"/>
    <n v="0"/>
    <n v="0"/>
    <n v="0"/>
    <n v="0"/>
    <n v="0"/>
    <n v="0"/>
    <n v="0"/>
    <s v="Ladok 200831"/>
    <m/>
    <n v="0"/>
    <n v="0"/>
    <n v="0"/>
    <n v="0"/>
    <n v="0"/>
    <n v="0"/>
    <n v="0"/>
    <n v="0"/>
    <n v="0.250000002"/>
    <n v="0.250000002"/>
    <n v="0"/>
    <n v="0"/>
    <n v="0"/>
    <n v="0"/>
    <n v="0"/>
    <n v="0"/>
    <n v="0"/>
    <n v="0"/>
    <n v="0"/>
    <n v="0"/>
    <n v="0"/>
    <n v="0"/>
    <n v="0"/>
  </r>
  <r>
    <x v="33"/>
    <s v="Utbildningens villkor och samhälleliga funktion - grundnivå (VAL, ULV)"/>
    <m/>
    <s v="LYLÄP"/>
    <m/>
    <s v="VT"/>
    <m/>
    <m/>
    <m/>
    <m/>
    <m/>
    <n v="50"/>
    <n v="7.5"/>
    <n v="12"/>
    <n v="1.4999999820000001"/>
    <n v="1"/>
    <n v="1.4999999820000001"/>
    <n v="2193"/>
    <s v="TUV "/>
    <s v="Sam"/>
    <s v="VAL-projektet"/>
    <n v="24104"/>
    <n v="31432"/>
    <n v="83303.999000352007"/>
    <n v="5900"/>
    <n v="8849.9998938000008"/>
    <n v="92153.998894152013"/>
    <n v="0"/>
    <n v="0"/>
    <n v="0"/>
    <n v="1"/>
    <n v="0"/>
    <n v="0"/>
    <n v="0"/>
    <n v="0"/>
    <n v="0"/>
    <n v="0"/>
    <n v="0"/>
    <n v="0"/>
    <s v="Ladok 200831"/>
    <m/>
    <n v="0"/>
    <n v="0"/>
    <n v="0"/>
    <n v="0"/>
    <n v="0"/>
    <n v="0"/>
    <n v="1.4999999820000001"/>
    <n v="1.4999999820000001"/>
    <n v="0"/>
    <n v="0"/>
    <n v="0"/>
    <n v="0"/>
    <n v="0"/>
    <n v="0"/>
    <n v="0"/>
    <n v="0"/>
    <n v="0"/>
    <n v="0"/>
    <n v="0"/>
    <n v="0"/>
    <n v="0"/>
    <n v="0"/>
    <n v="0"/>
  </r>
  <r>
    <x v="34"/>
    <s v="Specialpedagogik, sociala relationer och kommunikation - grundnivå (VAL, ULV)"/>
    <m/>
    <s v="LYLÄP"/>
    <m/>
    <s v="VT"/>
    <m/>
    <m/>
    <m/>
    <m/>
    <m/>
    <n v="50"/>
    <n v="7.5"/>
    <n v="35"/>
    <n v="4.3749999475000001"/>
    <n v="1"/>
    <n v="4.3749999475000001"/>
    <n v="2193"/>
    <s v="TUV "/>
    <s v="Sam"/>
    <s v="VAL-projektet"/>
    <n v="24104"/>
    <n v="31432"/>
    <n v="242969.99708435999"/>
    <n v="5900"/>
    <n v="25812.499690249999"/>
    <n v="268782.49677461002"/>
    <n v="0"/>
    <n v="0"/>
    <n v="0"/>
    <n v="1"/>
    <n v="0"/>
    <n v="0"/>
    <n v="0"/>
    <n v="0"/>
    <n v="0"/>
    <n v="0"/>
    <n v="0"/>
    <n v="0"/>
    <s v="Ladok 200831"/>
    <m/>
    <n v="0"/>
    <n v="0"/>
    <n v="0"/>
    <n v="0"/>
    <n v="0"/>
    <n v="0"/>
    <n v="4.3749999475000001"/>
    <n v="4.3749999475000001"/>
    <n v="0"/>
    <n v="0"/>
    <n v="0"/>
    <n v="0"/>
    <n v="0"/>
    <n v="0"/>
    <n v="0"/>
    <n v="0"/>
    <n v="0"/>
    <n v="0"/>
    <n v="0"/>
    <n v="0"/>
    <n v="0"/>
    <n v="0"/>
    <n v="0"/>
  </r>
  <r>
    <x v="35"/>
    <s v="Uppdrag, ledarskap och undervisning - grundnivå (VAL, ULV)"/>
    <m/>
    <s v="LYLÄP"/>
    <m/>
    <s v="VT"/>
    <m/>
    <m/>
    <m/>
    <m/>
    <m/>
    <n v="50"/>
    <n v="7.5"/>
    <n v="8"/>
    <n v="1.0000000200000001"/>
    <n v="1"/>
    <n v="1.0000000200000001"/>
    <n v="2180"/>
    <s v="Pedagogik                     "/>
    <s v="Sam"/>
    <s v="VAL-projektet"/>
    <n v="24104"/>
    <n v="31432"/>
    <n v="55536.001110720004"/>
    <n v="5900"/>
    <n v="5900.0001180000008"/>
    <n v="61436.001228720008"/>
    <n v="0"/>
    <n v="0"/>
    <n v="0"/>
    <n v="1"/>
    <n v="0"/>
    <n v="0"/>
    <n v="0"/>
    <n v="0"/>
    <n v="0"/>
    <n v="0"/>
    <n v="0"/>
    <n v="0"/>
    <s v="Ladok 200831"/>
    <m/>
    <n v="0"/>
    <n v="0"/>
    <n v="0"/>
    <n v="0"/>
    <n v="0"/>
    <n v="0"/>
    <n v="1.0000000200000001"/>
    <n v="1.0000000200000001"/>
    <n v="0"/>
    <n v="0"/>
    <n v="0"/>
    <n v="0"/>
    <n v="0"/>
    <n v="0"/>
    <n v="0"/>
    <n v="0"/>
    <n v="0"/>
    <n v="0"/>
    <n v="0"/>
    <n v="0"/>
    <n v="0"/>
    <n v="0"/>
    <n v="0"/>
  </r>
  <r>
    <x v="36"/>
    <s v="Undervisning och lärande - läroplansteori och didaktik - grundnivå (VAL, ULV)"/>
    <m/>
    <s v="LYLÄP"/>
    <m/>
    <s v="VT"/>
    <m/>
    <m/>
    <m/>
    <m/>
    <m/>
    <n v="50"/>
    <n v="7.5"/>
    <n v="37"/>
    <n v="4.6249999444999998"/>
    <n v="1"/>
    <n v="4.6249999444999998"/>
    <n v="2180"/>
    <s v="Pedagogik                     "/>
    <s v="Sam"/>
    <s v="VAL-projektet"/>
    <n v="24104"/>
    <n v="31432"/>
    <n v="256853.996917752"/>
    <n v="5900"/>
    <n v="27287.499672549999"/>
    <n v="284141.49659030198"/>
    <n v="0"/>
    <n v="0"/>
    <n v="0"/>
    <n v="1"/>
    <n v="0"/>
    <n v="0"/>
    <n v="0"/>
    <n v="0"/>
    <n v="0"/>
    <n v="0"/>
    <n v="0"/>
    <n v="0"/>
    <s v="Ladok 200831"/>
    <m/>
    <n v="0"/>
    <n v="0"/>
    <n v="0"/>
    <n v="0"/>
    <n v="0"/>
    <n v="0"/>
    <n v="4.6249999444999998"/>
    <n v="4.6249999444999998"/>
    <n v="0"/>
    <n v="0"/>
    <n v="0"/>
    <n v="0"/>
    <n v="0"/>
    <n v="0"/>
    <n v="0"/>
    <n v="0"/>
    <n v="0"/>
    <n v="0"/>
    <n v="0"/>
    <n v="0"/>
    <n v="0"/>
    <n v="0"/>
    <n v="0"/>
  </r>
  <r>
    <x v="37"/>
    <s v="Examensarbete med ämnesdidaktisk inriktning (VAL, ULV)"/>
    <m/>
    <s v="LYLÄP"/>
    <m/>
    <s v="VT"/>
    <m/>
    <m/>
    <m/>
    <m/>
    <m/>
    <n v="50"/>
    <n v="15"/>
    <n v="20"/>
    <n v="5.0000000399999998"/>
    <n v="1"/>
    <n v="5.0000000399999998"/>
    <n v="2193"/>
    <s v="TUV "/>
    <s v="Sam"/>
    <s v="VAL-projektet"/>
    <n v="24104"/>
    <n v="31432"/>
    <n v="277680.00222143997"/>
    <n v="5900"/>
    <n v="29500.000236"/>
    <n v="307180.00245743996"/>
    <n v="0"/>
    <n v="0"/>
    <n v="0"/>
    <n v="1"/>
    <n v="0"/>
    <n v="0"/>
    <n v="0"/>
    <n v="0"/>
    <n v="0"/>
    <n v="0"/>
    <n v="0"/>
    <n v="0"/>
    <s v="Ladok 200831"/>
    <m/>
    <n v="0"/>
    <n v="0"/>
    <n v="0"/>
    <n v="0"/>
    <n v="0"/>
    <n v="0"/>
    <n v="5.0000000399999998"/>
    <n v="5.0000000399999998"/>
    <n v="0"/>
    <n v="0"/>
    <n v="0"/>
    <n v="0"/>
    <n v="0"/>
    <n v="0"/>
    <n v="0"/>
    <n v="0"/>
    <n v="0"/>
    <n v="0"/>
    <n v="0"/>
    <n v="0"/>
    <n v="0"/>
    <n v="0"/>
    <n v="0"/>
  </r>
  <r>
    <x v="38"/>
    <s v="Spanska för ämneslärare, kurs III"/>
    <m/>
    <s v="LYLÄP"/>
    <m/>
    <s v="VT"/>
    <m/>
    <m/>
    <m/>
    <m/>
    <m/>
    <n v="100"/>
    <n v="30"/>
    <n v="1"/>
    <n v="0.500000004"/>
    <n v="1"/>
    <n v="0.500000004"/>
    <n v="1620"/>
    <s v="Inst för språkstudier"/>
    <s v="Hum"/>
    <s v="VAL-projektet"/>
    <n v="19097"/>
    <n v="16075"/>
    <n v="17586.000140688"/>
    <n v="5900"/>
    <n v="2950.0000236000001"/>
    <n v="20536.000164288002"/>
    <n v="0"/>
    <n v="1"/>
    <n v="0"/>
    <n v="0"/>
    <n v="0"/>
    <n v="0"/>
    <n v="0"/>
    <n v="0"/>
    <n v="0"/>
    <n v="0"/>
    <n v="0"/>
    <n v="0"/>
    <s v="Ladok 200831"/>
    <m/>
    <n v="0"/>
    <n v="0"/>
    <n v="0.500000004"/>
    <n v="0.500000004"/>
    <n v="0"/>
    <n v="0"/>
    <n v="0"/>
    <n v="0"/>
    <n v="0"/>
    <n v="0"/>
    <n v="0"/>
    <n v="0"/>
    <n v="0"/>
    <n v="0"/>
    <n v="0"/>
    <n v="0"/>
    <n v="0"/>
    <n v="0"/>
    <n v="0"/>
    <n v="0"/>
    <n v="0"/>
    <n v="0"/>
    <n v="0"/>
  </r>
  <r>
    <x v="39"/>
    <s v="Slöjd, Trä- och metall 2b, distans"/>
    <m/>
    <s v="LYLÄP"/>
    <m/>
    <s v="VT"/>
    <m/>
    <m/>
    <m/>
    <m/>
    <m/>
    <n v="50"/>
    <n v="15"/>
    <n v="7"/>
    <n v="1.750000014"/>
    <n v="1"/>
    <n v="1.750000014"/>
    <n v="1650"/>
    <s v="Estetiska ämnen               "/>
    <s v="Hum"/>
    <s v="VAL-projektet"/>
    <n v="19863"/>
    <n v="35472"/>
    <n v="96836.250774690008"/>
    <n v="22200"/>
    <n v="38850.000310800002"/>
    <n v="135686.25108549002"/>
    <n v="0"/>
    <n v="0"/>
    <n v="0"/>
    <n v="0"/>
    <n v="0"/>
    <n v="0"/>
    <n v="0"/>
    <n v="1"/>
    <n v="0"/>
    <n v="0"/>
    <n v="0"/>
    <n v="0"/>
    <s v="Ladok 200831"/>
    <m/>
    <n v="0"/>
    <n v="0"/>
    <n v="0"/>
    <n v="0"/>
    <n v="0"/>
    <n v="0"/>
    <n v="0"/>
    <n v="0"/>
    <n v="0"/>
    <n v="0"/>
    <n v="0"/>
    <n v="0"/>
    <n v="0"/>
    <n v="0"/>
    <n v="1.750000014"/>
    <n v="1.750000014"/>
    <n v="0"/>
    <n v="0"/>
    <n v="0"/>
    <n v="0"/>
    <n v="0"/>
    <n v="0"/>
    <n v="0"/>
  </r>
  <r>
    <x v="40"/>
    <s v="Slöjd 1, Trä- och metall"/>
    <m/>
    <s v="LYLÄP"/>
    <m/>
    <s v="VT"/>
    <m/>
    <m/>
    <m/>
    <m/>
    <m/>
    <n v="50"/>
    <n v="15"/>
    <n v="1"/>
    <n v="0.250000002"/>
    <n v="1"/>
    <n v="0.250000002"/>
    <n v="1650"/>
    <s v="Estetiska ämnen               "/>
    <s v="Hum"/>
    <s v="VAL-projektet"/>
    <n v="19863"/>
    <n v="35472"/>
    <n v="13833.75011067"/>
    <n v="22200"/>
    <n v="5550.0000443999998"/>
    <n v="19383.75015507"/>
    <n v="0"/>
    <n v="0"/>
    <n v="0"/>
    <n v="0"/>
    <n v="0"/>
    <n v="0"/>
    <n v="0"/>
    <n v="1"/>
    <n v="0"/>
    <n v="0"/>
    <n v="0"/>
    <n v="0"/>
    <s v="Ladok 200831"/>
    <m/>
    <n v="0"/>
    <n v="0"/>
    <n v="0"/>
    <n v="0"/>
    <n v="0"/>
    <n v="0"/>
    <n v="0"/>
    <n v="0"/>
    <n v="0"/>
    <n v="0"/>
    <n v="0"/>
    <n v="0"/>
    <n v="0"/>
    <n v="0"/>
    <n v="0.250000002"/>
    <n v="0.250000002"/>
    <n v="0"/>
    <n v="0"/>
    <n v="0"/>
    <n v="0"/>
    <n v="0"/>
    <n v="0"/>
    <n v="0"/>
  </r>
  <r>
    <x v="41"/>
    <s v="Skapandets intryck - utveckla och tala om hantverkets tysta kunskap"/>
    <m/>
    <s v="LYLÄP"/>
    <m/>
    <s v="VT"/>
    <m/>
    <m/>
    <m/>
    <m/>
    <m/>
    <n v="50"/>
    <n v="15"/>
    <n v="8"/>
    <n v="2.000000016"/>
    <n v="1"/>
    <n v="2.000000016"/>
    <n v="1650"/>
    <s v="Estetiska ämnen               "/>
    <s v="Hum"/>
    <s v="VAL-projektet"/>
    <n v="19863"/>
    <n v="35472"/>
    <n v="110670.00088536"/>
    <n v="22200"/>
    <n v="44400.000355199998"/>
    <n v="155070.00124056"/>
    <n v="0"/>
    <n v="0"/>
    <n v="0"/>
    <n v="0"/>
    <n v="0"/>
    <n v="0"/>
    <n v="0"/>
    <n v="1"/>
    <n v="0"/>
    <n v="0"/>
    <n v="0"/>
    <n v="0"/>
    <s v="Ladok 200831"/>
    <m/>
    <n v="0"/>
    <n v="0"/>
    <n v="0"/>
    <n v="0"/>
    <n v="0"/>
    <n v="0"/>
    <n v="0"/>
    <n v="0"/>
    <n v="0"/>
    <n v="0"/>
    <n v="0"/>
    <n v="0"/>
    <n v="0"/>
    <n v="0"/>
    <n v="2.000000016"/>
    <n v="2.000000016"/>
    <n v="0"/>
    <n v="0"/>
    <n v="0"/>
    <n v="0"/>
    <n v="0"/>
    <n v="0"/>
    <n v="0"/>
  </r>
  <r>
    <x v="42"/>
    <s v="Läs- och skrivinlärning 1"/>
    <m/>
    <s v="LYLÄP"/>
    <m/>
    <s v="VT"/>
    <m/>
    <m/>
    <m/>
    <m/>
    <m/>
    <n v="50"/>
    <n v="7.5"/>
    <n v="5"/>
    <n v="0.62499999250000005"/>
    <n v="1"/>
    <n v="0.62499999250000005"/>
    <n v="1620"/>
    <s v="Inst för språkstudier"/>
    <s v="Hum"/>
    <s v="VAL-projektet"/>
    <n v="19097"/>
    <n v="16075"/>
    <n v="21982.499736210004"/>
    <n v="5900"/>
    <n v="3687.4999557500005"/>
    <n v="25669.999691960005"/>
    <n v="0"/>
    <n v="1"/>
    <n v="0"/>
    <n v="0"/>
    <n v="0"/>
    <n v="0"/>
    <n v="0"/>
    <n v="0"/>
    <n v="0"/>
    <n v="0"/>
    <n v="0"/>
    <n v="0"/>
    <s v="Ladok 200831"/>
    <m/>
    <n v="0"/>
    <n v="0"/>
    <n v="0.62499999250000005"/>
    <n v="0.62499999250000005"/>
    <n v="0"/>
    <n v="0"/>
    <n v="0"/>
    <n v="0"/>
    <n v="0"/>
    <n v="0"/>
    <n v="0"/>
    <n v="0"/>
    <n v="0"/>
    <n v="0"/>
    <n v="0"/>
    <n v="0"/>
    <n v="0"/>
    <n v="0"/>
    <n v="0"/>
    <n v="0"/>
    <n v="0"/>
    <n v="0"/>
    <n v="0"/>
  </r>
  <r>
    <x v="43"/>
    <s v="Svenska som andraspråk C, Diskriminerande strukturer och skönlitteratur"/>
    <m/>
    <s v="LYLÄP"/>
    <m/>
    <s v="VT"/>
    <m/>
    <m/>
    <m/>
    <m/>
    <m/>
    <n v="50"/>
    <n v="15"/>
    <n v="1"/>
    <n v="0.250000002"/>
    <n v="1"/>
    <n v="0.250000002"/>
    <n v="1620"/>
    <s v="Inst för språkstudier"/>
    <s v="Hum"/>
    <s v="VAL-projektet"/>
    <n v="19097"/>
    <n v="16075"/>
    <n v="8793.0000703440001"/>
    <n v="5900"/>
    <n v="1475.0000118"/>
    <n v="10268.000082144001"/>
    <n v="0"/>
    <n v="1"/>
    <n v="0"/>
    <n v="0"/>
    <n v="0"/>
    <n v="0"/>
    <n v="0"/>
    <n v="0"/>
    <n v="0"/>
    <n v="0"/>
    <n v="0"/>
    <n v="0"/>
    <s v="Ladok 200831"/>
    <m/>
    <n v="0"/>
    <n v="0"/>
    <n v="0.250000002"/>
    <n v="0.250000002"/>
    <n v="0"/>
    <n v="0"/>
    <n v="0"/>
    <n v="0"/>
    <n v="0"/>
    <n v="0"/>
    <n v="0"/>
    <n v="0"/>
    <n v="0"/>
    <n v="0"/>
    <n v="0"/>
    <n v="0"/>
    <n v="0"/>
    <n v="0"/>
    <n v="0"/>
    <n v="0"/>
    <n v="0"/>
    <n v="0"/>
    <n v="0"/>
  </r>
  <r>
    <x v="44"/>
    <s v="Slöjd, textil 2b, distans"/>
    <m/>
    <s v="LYLÄP"/>
    <m/>
    <s v="VT"/>
    <m/>
    <m/>
    <m/>
    <m/>
    <m/>
    <n v="50"/>
    <n v="15"/>
    <n v="2"/>
    <n v="0.500000004"/>
    <n v="1"/>
    <n v="0.500000004"/>
    <n v="1650"/>
    <s v="Estetiska ämnen               "/>
    <s v="Hum"/>
    <s v="VAL-projektet"/>
    <n v="19863"/>
    <n v="35472"/>
    <n v="27667.50022134"/>
    <n v="22200"/>
    <n v="11100.0000888"/>
    <n v="38767.50031014"/>
    <n v="0"/>
    <n v="0"/>
    <n v="0"/>
    <n v="0"/>
    <n v="0"/>
    <n v="0"/>
    <n v="0"/>
    <n v="1"/>
    <n v="0"/>
    <n v="0"/>
    <n v="0"/>
    <n v="0"/>
    <s v="Ladok 200831"/>
    <m/>
    <n v="0"/>
    <n v="0"/>
    <n v="0"/>
    <n v="0"/>
    <n v="0"/>
    <n v="0"/>
    <n v="0"/>
    <n v="0"/>
    <n v="0"/>
    <n v="0"/>
    <n v="0"/>
    <n v="0"/>
    <n v="0"/>
    <n v="0"/>
    <n v="0.500000004"/>
    <n v="0.500000004"/>
    <n v="0"/>
    <n v="0"/>
    <n v="0"/>
    <n v="0"/>
    <n v="0"/>
    <n v="0"/>
    <n v="0"/>
  </r>
  <r>
    <x v="45"/>
    <s v="Textila uttryck"/>
    <m/>
    <s v="LYLÄP"/>
    <m/>
    <s v="VT"/>
    <m/>
    <m/>
    <m/>
    <m/>
    <m/>
    <n v="50"/>
    <n v="15"/>
    <n v="4"/>
    <n v="1.000000008"/>
    <n v="1"/>
    <n v="1.000000008"/>
    <n v="1650"/>
    <s v="Estetiska ämnen               "/>
    <s v="Hum"/>
    <s v="VAL-projektet"/>
    <n v="19863"/>
    <n v="35472"/>
    <n v="55335.000442680001"/>
    <n v="22200"/>
    <n v="22200.000177599999"/>
    <n v="77535.00062028"/>
    <n v="0"/>
    <n v="0"/>
    <n v="0"/>
    <n v="0"/>
    <n v="0"/>
    <n v="0"/>
    <n v="0"/>
    <n v="1"/>
    <n v="0"/>
    <n v="0"/>
    <n v="0"/>
    <n v="0"/>
    <s v="Ladok 200831"/>
    <m/>
    <n v="0"/>
    <n v="0"/>
    <n v="0"/>
    <n v="0"/>
    <n v="0"/>
    <n v="0"/>
    <n v="0"/>
    <n v="0"/>
    <n v="0"/>
    <n v="0"/>
    <n v="0"/>
    <n v="0"/>
    <n v="0"/>
    <n v="0"/>
    <n v="1.000000008"/>
    <n v="1.000000008"/>
    <n v="0"/>
    <n v="0"/>
    <n v="0"/>
    <n v="0"/>
    <n v="0"/>
    <n v="0"/>
    <n v="0"/>
  </r>
  <r>
    <x v="45"/>
    <s v="Textila uttryck"/>
    <m/>
    <s v="FRIST"/>
    <m/>
    <s v="VT"/>
    <m/>
    <m/>
    <m/>
    <m/>
    <m/>
    <n v="50"/>
    <n v="15"/>
    <n v="1"/>
    <n v="0.250000002"/>
    <n v="1"/>
    <n v="0.250000002"/>
    <n v="1650"/>
    <s v="Estetiska ämnen               "/>
    <s v="Hum"/>
    <s v="Fristående och övriga kurser"/>
    <n v="19863"/>
    <n v="35472"/>
    <n v="13833.75011067"/>
    <n v="22200"/>
    <n v="5550.0000443999998"/>
    <n v="19383.75015507"/>
    <n v="0"/>
    <n v="0"/>
    <n v="0"/>
    <n v="0"/>
    <n v="0"/>
    <n v="0"/>
    <n v="0"/>
    <n v="1"/>
    <n v="0"/>
    <n v="0"/>
    <n v="0"/>
    <n v="0"/>
    <s v="Ladok 200831"/>
    <m/>
    <n v="0"/>
    <n v="0"/>
    <n v="0"/>
    <n v="0"/>
    <n v="0"/>
    <n v="0"/>
    <n v="0"/>
    <n v="0"/>
    <n v="0"/>
    <n v="0"/>
    <n v="0"/>
    <n v="0"/>
    <n v="0"/>
    <n v="0"/>
    <n v="0.250000002"/>
    <n v="0.250000002"/>
    <n v="0"/>
    <n v="0"/>
    <n v="0"/>
    <n v="0"/>
    <n v="0"/>
    <n v="0"/>
    <n v="0"/>
  </r>
  <r>
    <x v="46"/>
    <s v="Slöjd 1, textil"/>
    <m/>
    <s v="LYLÄP"/>
    <m/>
    <s v="VT"/>
    <m/>
    <m/>
    <m/>
    <m/>
    <m/>
    <n v="50"/>
    <n v="15"/>
    <n v="1"/>
    <n v="0.250000002"/>
    <n v="1"/>
    <n v="0.250000002"/>
    <n v="1650"/>
    <s v="Estetiska ämnen               "/>
    <s v="Hum"/>
    <s v="VAL-projektet"/>
    <n v="19863"/>
    <n v="35472"/>
    <n v="13833.75011067"/>
    <n v="22200"/>
    <n v="5550.0000443999998"/>
    <n v="19383.75015507"/>
    <n v="0"/>
    <n v="0"/>
    <n v="0"/>
    <n v="0"/>
    <n v="0"/>
    <n v="0"/>
    <n v="0"/>
    <n v="1"/>
    <n v="0"/>
    <n v="0"/>
    <n v="0"/>
    <n v="0"/>
    <s v="Ladok 200831"/>
    <m/>
    <n v="0"/>
    <n v="0"/>
    <n v="0"/>
    <n v="0"/>
    <n v="0"/>
    <n v="0"/>
    <n v="0"/>
    <n v="0"/>
    <n v="0"/>
    <n v="0"/>
    <n v="0"/>
    <n v="0"/>
    <n v="0"/>
    <n v="0"/>
    <n v="0.250000002"/>
    <n v="0.250000002"/>
    <n v="0"/>
    <n v="0"/>
    <n v="0"/>
    <n v="0"/>
    <n v="0"/>
    <n v="0"/>
    <n v="0"/>
  </r>
  <r>
    <x v="47"/>
    <s v="Väv- och kläddesign fördjupning"/>
    <m/>
    <s v="LYLÄP"/>
    <m/>
    <s v="VT"/>
    <m/>
    <m/>
    <m/>
    <m/>
    <m/>
    <n v="50"/>
    <n v="15"/>
    <n v="2"/>
    <n v="0.500000004"/>
    <n v="1"/>
    <n v="0.500000004"/>
    <n v="1650"/>
    <s v="Estetiska ämnen               "/>
    <s v="Hum"/>
    <s v="VAL-projektet"/>
    <n v="19097"/>
    <n v="16075"/>
    <n v="17586.000140688"/>
    <n v="5900"/>
    <n v="2950.0000236000001"/>
    <n v="20536.000164288002"/>
    <n v="0"/>
    <n v="1"/>
    <n v="0"/>
    <n v="0"/>
    <n v="0"/>
    <n v="0"/>
    <n v="0"/>
    <n v="0"/>
    <n v="0"/>
    <n v="0"/>
    <n v="0"/>
    <n v="0"/>
    <s v="Ladok 200831"/>
    <m/>
    <n v="0"/>
    <n v="0"/>
    <n v="0.500000004"/>
    <n v="0.500000004"/>
    <n v="0"/>
    <n v="0"/>
    <n v="0"/>
    <n v="0"/>
    <n v="0"/>
    <n v="0"/>
    <n v="0"/>
    <n v="0"/>
    <n v="0"/>
    <n v="0"/>
    <n v="0"/>
    <n v="0"/>
    <n v="0"/>
    <n v="0"/>
    <n v="0"/>
    <n v="0"/>
    <n v="0"/>
    <n v="0"/>
    <n v="0"/>
  </r>
  <r>
    <x v="48"/>
    <s v="Engelska A1, nätkurs"/>
    <m/>
    <s v="LYLÄP"/>
    <s v="H20"/>
    <s v="HT"/>
    <s v="H201-20"/>
    <m/>
    <m/>
    <m/>
    <m/>
    <n v="50"/>
    <n v="15"/>
    <n v="1"/>
    <n v="0.25"/>
    <n v="1"/>
    <n v="0.25"/>
    <n v="1620"/>
    <s v="Inst för språkstudier"/>
    <s v="Hum"/>
    <s v="VAL-projektet"/>
    <n v="19097"/>
    <n v="16075"/>
    <n v="8793"/>
    <n v="5900"/>
    <n v="1475"/>
    <n v="10268"/>
    <n v="0"/>
    <n v="1"/>
    <n v="0"/>
    <n v="0"/>
    <n v="0"/>
    <n v="0"/>
    <n v="0"/>
    <n v="0"/>
    <n v="0"/>
    <n v="0"/>
    <n v="0"/>
    <n v="0"/>
    <s v="SPn 200925"/>
    <m/>
    <n v="0"/>
    <n v="0"/>
    <n v="0.25"/>
    <n v="0.25"/>
    <n v="0"/>
    <n v="0"/>
    <n v="0"/>
    <n v="0"/>
    <n v="0"/>
    <n v="0"/>
    <n v="0"/>
    <n v="0"/>
    <n v="0"/>
    <n v="0"/>
    <n v="0"/>
    <n v="0"/>
    <n v="0"/>
    <n v="0"/>
    <n v="0"/>
    <n v="0"/>
    <n v="0"/>
    <n v="0"/>
    <n v="0"/>
  </r>
  <r>
    <x v="49"/>
    <s v="Engelska B1, nätkurs"/>
    <m/>
    <s v="LYLÄP"/>
    <s v="V19"/>
    <s v="HT"/>
    <s v="H201-20"/>
    <m/>
    <m/>
    <m/>
    <m/>
    <n v="50"/>
    <n v="15"/>
    <n v="1"/>
    <n v="0.25"/>
    <n v="1"/>
    <n v="0.25"/>
    <n v="1620"/>
    <s v="Inst för språkstudier"/>
    <s v="Hum"/>
    <s v="VAL-projektet"/>
    <n v="19097"/>
    <n v="16075"/>
    <n v="8793"/>
    <n v="5900"/>
    <n v="1475"/>
    <n v="10268"/>
    <n v="0"/>
    <n v="1"/>
    <n v="0"/>
    <n v="0"/>
    <n v="0"/>
    <n v="0"/>
    <n v="0"/>
    <n v="0"/>
    <n v="0"/>
    <n v="0"/>
    <n v="0"/>
    <n v="0"/>
    <s v="SPn 200925"/>
    <m/>
    <n v="0"/>
    <n v="0"/>
    <n v="0.25"/>
    <n v="0.25"/>
    <n v="0"/>
    <n v="0"/>
    <n v="0"/>
    <n v="0"/>
    <n v="0"/>
    <n v="0"/>
    <n v="0"/>
    <n v="0"/>
    <n v="0"/>
    <n v="0"/>
    <n v="0"/>
    <n v="0"/>
    <n v="0"/>
    <n v="0"/>
    <n v="0"/>
    <n v="0"/>
    <n v="0"/>
    <n v="0"/>
    <n v="0"/>
  </r>
  <r>
    <x v="50"/>
    <s v="Engelska C"/>
    <m/>
    <s v="LYLÄP"/>
    <s v="H20"/>
    <s v="HT"/>
    <s v="H201-20"/>
    <m/>
    <m/>
    <m/>
    <m/>
    <n v="50"/>
    <n v="15"/>
    <n v="2"/>
    <n v="0.5"/>
    <n v="1"/>
    <n v="0.5"/>
    <n v="1620"/>
    <s v="Inst för språkstudier"/>
    <s v="Hum"/>
    <s v="VAL-projektet"/>
    <n v="19097"/>
    <n v="16075"/>
    <n v="17586"/>
    <n v="5900"/>
    <n v="2950"/>
    <n v="20536"/>
    <n v="0"/>
    <n v="1"/>
    <n v="0"/>
    <n v="0"/>
    <n v="0"/>
    <n v="0"/>
    <n v="0"/>
    <n v="0"/>
    <n v="0"/>
    <n v="0"/>
    <n v="0"/>
    <n v="0"/>
    <s v="SPn 200925"/>
    <m/>
    <n v="0"/>
    <n v="0"/>
    <n v="0.5"/>
    <n v="0.5"/>
    <n v="0"/>
    <n v="0"/>
    <n v="0"/>
    <n v="0"/>
    <n v="0"/>
    <n v="0"/>
    <n v="0"/>
    <n v="0"/>
    <n v="0"/>
    <n v="0"/>
    <n v="0"/>
    <n v="0"/>
    <n v="0"/>
    <n v="0"/>
    <n v="0"/>
    <n v="0"/>
    <n v="0"/>
    <n v="0"/>
    <n v="0"/>
  </r>
  <r>
    <x v="51"/>
    <s v="Historia A"/>
    <m/>
    <s v="LYLÄP"/>
    <s v="H20"/>
    <s v="HT"/>
    <s v="H201-20:V211-20"/>
    <m/>
    <m/>
    <m/>
    <m/>
    <n v="50"/>
    <n v="15"/>
    <n v="1"/>
    <n v="0.25"/>
    <n v="1"/>
    <n v="0.25"/>
    <n v="1630"/>
    <s v="Inst för ide- o samhällsstudier"/>
    <s v="Hum"/>
    <s v="VAL-projektet"/>
    <n v="19097"/>
    <n v="16075"/>
    <n v="8793"/>
    <n v="5900"/>
    <n v="1475"/>
    <n v="10268"/>
    <n v="0"/>
    <n v="1"/>
    <n v="0"/>
    <n v="0"/>
    <n v="0"/>
    <n v="0"/>
    <n v="0"/>
    <n v="0"/>
    <n v="0"/>
    <n v="0"/>
    <n v="0"/>
    <n v="0"/>
    <s v="SPn 200925"/>
    <s v="Läser 15 hp denna termin"/>
    <n v="0"/>
    <n v="0"/>
    <n v="0.25"/>
    <n v="0.25"/>
    <n v="0"/>
    <n v="0"/>
    <n v="0"/>
    <n v="0"/>
    <n v="0"/>
    <n v="0"/>
    <n v="0"/>
    <n v="0"/>
    <n v="0"/>
    <n v="0"/>
    <n v="0"/>
    <n v="0"/>
    <n v="0"/>
    <n v="0"/>
    <n v="0"/>
    <n v="0"/>
    <n v="0"/>
    <n v="0"/>
    <n v="0"/>
  </r>
  <r>
    <x v="52"/>
    <s v="Historia C"/>
    <m/>
    <s v="LYLÄP"/>
    <s v="H20"/>
    <s v="HT"/>
    <s v="H201-20:V211-20"/>
    <m/>
    <m/>
    <m/>
    <m/>
    <n v="50"/>
    <n v="15"/>
    <n v="1"/>
    <n v="0.25"/>
    <n v="1"/>
    <n v="0.25"/>
    <n v="1630"/>
    <s v="Inst för ide- o samhällsstudier"/>
    <s v="Hum"/>
    <s v="VAL-projektet"/>
    <n v="19097"/>
    <n v="16075"/>
    <n v="8793"/>
    <n v="5900"/>
    <n v="1475"/>
    <n v="10268"/>
    <n v="0"/>
    <n v="1"/>
    <n v="0"/>
    <n v="0"/>
    <n v="0"/>
    <n v="0"/>
    <n v="0"/>
    <n v="0"/>
    <n v="0"/>
    <n v="0"/>
    <n v="0"/>
    <n v="0"/>
    <s v="SPn 200925"/>
    <s v="Läser 15 hp denna termin"/>
    <n v="0"/>
    <n v="0"/>
    <n v="0.25"/>
    <n v="0.25"/>
    <n v="0"/>
    <n v="0"/>
    <n v="0"/>
    <n v="0"/>
    <n v="0"/>
    <n v="0"/>
    <n v="0"/>
    <n v="0"/>
    <n v="0"/>
    <n v="0"/>
    <n v="0"/>
    <n v="0"/>
    <n v="0"/>
    <n v="0"/>
    <n v="0"/>
    <n v="0"/>
    <n v="0"/>
    <n v="0"/>
    <n v="0"/>
  </r>
  <r>
    <x v="53"/>
    <s v="Historia B"/>
    <m/>
    <s v="LYLÄP"/>
    <s v="H20"/>
    <s v="HT"/>
    <s v="H201-20:V211-20"/>
    <m/>
    <m/>
    <m/>
    <m/>
    <n v="50"/>
    <n v="15"/>
    <n v="1"/>
    <n v="0.25"/>
    <n v="1"/>
    <n v="0.25"/>
    <n v="1630"/>
    <s v="Inst för ide- o samhällsstudier"/>
    <s v="Hum"/>
    <s v="VAL-projektet"/>
    <n v="19097"/>
    <n v="16075"/>
    <n v="8793"/>
    <n v="5900"/>
    <n v="1475"/>
    <n v="10268"/>
    <n v="0"/>
    <n v="1"/>
    <n v="0"/>
    <n v="0"/>
    <n v="0"/>
    <n v="0"/>
    <n v="0"/>
    <n v="0"/>
    <n v="0"/>
    <n v="0"/>
    <n v="0"/>
    <n v="0"/>
    <s v="SPn 200925"/>
    <s v="Läser 15 hp denna termin"/>
    <n v="0"/>
    <n v="0"/>
    <n v="0.25"/>
    <n v="0.25"/>
    <n v="0"/>
    <n v="0"/>
    <n v="0"/>
    <n v="0"/>
    <n v="0"/>
    <n v="0"/>
    <n v="0"/>
    <n v="0"/>
    <n v="0"/>
    <n v="0"/>
    <n v="0"/>
    <n v="0"/>
    <n v="0"/>
    <n v="0"/>
    <n v="0"/>
    <n v="0"/>
    <n v="0"/>
    <n v="0"/>
    <n v="0"/>
  </r>
  <r>
    <x v="54"/>
    <s v="Svenska språket A: Praktisk retorik"/>
    <m/>
    <s v="LYLÄP"/>
    <s v="H20"/>
    <s v="HT"/>
    <s v="H201-20"/>
    <m/>
    <m/>
    <m/>
    <m/>
    <n v="25"/>
    <n v="7.5"/>
    <n v="1"/>
    <n v="0.125"/>
    <n v="1"/>
    <n v="0.125"/>
    <n v="1620"/>
    <s v="Inst för språkstudier"/>
    <s v="Hum"/>
    <s v="VAL-projektet"/>
    <n v="19097"/>
    <n v="16075"/>
    <n v="4396.5"/>
    <n v="5900"/>
    <n v="737.5"/>
    <n v="5134"/>
    <n v="0"/>
    <n v="1"/>
    <n v="0"/>
    <n v="0"/>
    <n v="0"/>
    <n v="0"/>
    <n v="0"/>
    <n v="0"/>
    <n v="0"/>
    <n v="0"/>
    <n v="0"/>
    <n v="0"/>
    <s v="SPn 200925"/>
    <m/>
    <n v="0"/>
    <n v="0"/>
    <n v="0.125"/>
    <n v="0.125"/>
    <n v="0"/>
    <n v="0"/>
    <n v="0"/>
    <n v="0"/>
    <n v="0"/>
    <n v="0"/>
    <n v="0"/>
    <n v="0"/>
    <n v="0"/>
    <n v="0"/>
    <n v="0"/>
    <n v="0"/>
    <n v="0"/>
    <n v="0"/>
    <n v="0"/>
    <n v="0"/>
    <n v="0"/>
    <n v="0"/>
    <n v="0"/>
  </r>
  <r>
    <x v="55"/>
    <s v="Skandinavistik med inriktning mot nordliga studier - synkrona perspektiv"/>
    <m/>
    <s v="LYLÄP"/>
    <s v="H20"/>
    <s v="HT"/>
    <s v="H201-10"/>
    <m/>
    <m/>
    <m/>
    <m/>
    <n v="50"/>
    <n v="7.5"/>
    <n v="1"/>
    <n v="0.125"/>
    <n v="1"/>
    <n v="0.125"/>
    <n v="1620"/>
    <s v="Inst för språkstudier"/>
    <s v="Hum"/>
    <s v="VAL-projektet"/>
    <n v="19097"/>
    <n v="16075"/>
    <n v="4396.5"/>
    <n v="5900"/>
    <n v="737.5"/>
    <n v="5134"/>
    <n v="0"/>
    <n v="1"/>
    <n v="0"/>
    <n v="0"/>
    <n v="0"/>
    <n v="0"/>
    <n v="0"/>
    <n v="0"/>
    <n v="0"/>
    <n v="0"/>
    <n v="0"/>
    <n v="0"/>
    <s v="SPn 200925"/>
    <m/>
    <n v="0"/>
    <n v="0"/>
    <n v="0.125"/>
    <n v="0.125"/>
    <n v="0"/>
    <n v="0"/>
    <n v="0"/>
    <n v="0"/>
    <n v="0"/>
    <n v="0"/>
    <n v="0"/>
    <n v="0"/>
    <n v="0"/>
    <n v="0"/>
    <n v="0"/>
    <n v="0"/>
    <n v="0"/>
    <n v="0"/>
    <n v="0"/>
    <n v="0"/>
    <n v="0"/>
    <n v="0"/>
    <n v="0"/>
  </r>
  <r>
    <x v="56"/>
    <s v="Religionsvetenskap: grundkurs A1"/>
    <m/>
    <s v="LYLÄP"/>
    <s v="V20"/>
    <s v="HT"/>
    <s v="H201-20"/>
    <m/>
    <m/>
    <m/>
    <m/>
    <n v="100"/>
    <n v="30"/>
    <n v="1"/>
    <n v="0.5"/>
    <n v="1"/>
    <n v="0.5"/>
    <n v="1630"/>
    <s v="Inst för ide- o samhällsstudier"/>
    <s v="Hum"/>
    <s v="VAL-projektet"/>
    <n v="19097"/>
    <n v="16075"/>
    <n v="17586"/>
    <n v="5900"/>
    <n v="2950"/>
    <n v="20536"/>
    <n v="0"/>
    <n v="1"/>
    <n v="0"/>
    <n v="0"/>
    <n v="0"/>
    <n v="0"/>
    <n v="0"/>
    <n v="0"/>
    <n v="0"/>
    <n v="0"/>
    <n v="0"/>
    <n v="0"/>
    <s v="SPn 200925"/>
    <m/>
    <n v="0"/>
    <n v="0"/>
    <n v="0.5"/>
    <n v="0.5"/>
    <n v="0"/>
    <n v="0"/>
    <n v="0"/>
    <n v="0"/>
    <n v="0"/>
    <n v="0"/>
    <n v="0"/>
    <n v="0"/>
    <n v="0"/>
    <n v="0"/>
    <n v="0"/>
    <n v="0"/>
    <n v="0"/>
    <n v="0"/>
    <n v="0"/>
    <n v="0"/>
    <n v="0"/>
    <n v="0"/>
    <n v="0"/>
  </r>
  <r>
    <x v="6"/>
    <s v="Spanska C, Lingvistik, litteratur och språkfärdighet"/>
    <m/>
    <s v="LYLÄP"/>
    <s v="H20"/>
    <s v="HT"/>
    <s v="H201-20"/>
    <m/>
    <m/>
    <m/>
    <m/>
    <n v="50"/>
    <n v="15"/>
    <n v="1"/>
    <n v="0.25"/>
    <n v="1"/>
    <n v="0.25"/>
    <n v="1620"/>
    <s v="Inst för språkstudier"/>
    <s v="Hum"/>
    <s v="VAL-projektet"/>
    <n v="19097"/>
    <n v="16075"/>
    <n v="8793"/>
    <n v="5900"/>
    <n v="1475"/>
    <n v="10268"/>
    <n v="0"/>
    <n v="1"/>
    <n v="0"/>
    <n v="0"/>
    <n v="0"/>
    <n v="0"/>
    <n v="0"/>
    <n v="0"/>
    <n v="0"/>
    <n v="0"/>
    <n v="0"/>
    <n v="0"/>
    <s v="SPn 200925"/>
    <m/>
    <n v="0"/>
    <n v="0"/>
    <n v="0.25"/>
    <n v="0.25"/>
    <n v="0"/>
    <n v="0"/>
    <n v="0"/>
    <n v="0"/>
    <n v="0"/>
    <n v="0"/>
    <n v="0"/>
    <n v="0"/>
    <n v="0"/>
    <n v="0"/>
    <n v="0"/>
    <n v="0"/>
    <n v="0"/>
    <n v="0"/>
    <n v="0"/>
    <n v="0"/>
    <n v="0"/>
    <n v="0"/>
    <n v="0"/>
  </r>
  <r>
    <x v="10"/>
    <s v="Bedömning - grundnivå (VAL, ULV)"/>
    <m/>
    <s v="LYLÄP"/>
    <s v="H18"/>
    <s v="HT"/>
    <s v="H2011-20"/>
    <m/>
    <m/>
    <m/>
    <m/>
    <n v="50"/>
    <n v="7.5"/>
    <n v="2"/>
    <n v="0.25"/>
    <n v="1"/>
    <n v="0.25"/>
    <n v="5740"/>
    <s v="NMD"/>
    <s v="TekNat"/>
    <s v="VAL-projektet"/>
    <n v="24104"/>
    <n v="31432"/>
    <n v="13884"/>
    <n v="5900"/>
    <n v="1475"/>
    <n v="15359"/>
    <n v="0"/>
    <n v="0"/>
    <n v="0"/>
    <n v="1"/>
    <n v="0"/>
    <n v="0"/>
    <n v="0"/>
    <n v="0"/>
    <n v="0"/>
    <n v="0"/>
    <n v="0"/>
    <n v="0"/>
    <s v="SPn 200925"/>
    <m/>
    <n v="0"/>
    <n v="0"/>
    <n v="0"/>
    <n v="0"/>
    <n v="0"/>
    <n v="0"/>
    <n v="0.25"/>
    <n v="0.25"/>
    <n v="0"/>
    <n v="0"/>
    <n v="0"/>
    <n v="0"/>
    <n v="0"/>
    <n v="0"/>
    <n v="0"/>
    <n v="0"/>
    <n v="0"/>
    <n v="0"/>
    <n v="0"/>
    <n v="0"/>
    <n v="0"/>
    <n v="0"/>
    <n v="0"/>
  </r>
  <r>
    <x v="10"/>
    <s v="Bedömning - grundnivå (VAL, ULV)"/>
    <m/>
    <s v="LYLÄP"/>
    <s v="H19"/>
    <s v="HT"/>
    <s v="H2011-20"/>
    <m/>
    <m/>
    <m/>
    <m/>
    <n v="50"/>
    <n v="7.5"/>
    <n v="2"/>
    <n v="0.25"/>
    <n v="1"/>
    <n v="0.25"/>
    <n v="5740"/>
    <s v="NMD"/>
    <s v="TekNat"/>
    <s v="VAL-projektet"/>
    <n v="24104"/>
    <n v="31432"/>
    <n v="13884"/>
    <n v="5900"/>
    <n v="1475"/>
    <n v="15359"/>
    <n v="0"/>
    <n v="0"/>
    <n v="0"/>
    <n v="1"/>
    <n v="0"/>
    <n v="0"/>
    <n v="0"/>
    <n v="0"/>
    <n v="0"/>
    <n v="0"/>
    <n v="0"/>
    <n v="0"/>
    <s v="SPn 200925"/>
    <m/>
    <n v="0"/>
    <n v="0"/>
    <n v="0"/>
    <n v="0"/>
    <n v="0"/>
    <n v="0"/>
    <n v="0.25"/>
    <n v="0.25"/>
    <n v="0"/>
    <n v="0"/>
    <n v="0"/>
    <n v="0"/>
    <n v="0"/>
    <n v="0"/>
    <n v="0"/>
    <n v="0"/>
    <n v="0"/>
    <n v="0"/>
    <n v="0"/>
    <n v="0"/>
    <n v="0"/>
    <n v="0"/>
    <n v="0"/>
  </r>
  <r>
    <x v="10"/>
    <s v="Bedömning - grundnivå (VAL, ULV)"/>
    <m/>
    <s v="LYLÄP"/>
    <s v="H20"/>
    <s v="HT"/>
    <s v="H2011-20"/>
    <m/>
    <m/>
    <m/>
    <m/>
    <n v="50"/>
    <n v="7.5"/>
    <n v="25"/>
    <n v="3.125"/>
    <n v="1"/>
    <n v="3.125"/>
    <n v="5740"/>
    <s v="NMD"/>
    <s v="TekNat"/>
    <s v="VAL-projektet"/>
    <n v="24104"/>
    <n v="31432"/>
    <n v="173550"/>
    <n v="5900"/>
    <n v="18437.5"/>
    <n v="191987.5"/>
    <n v="0"/>
    <n v="0"/>
    <n v="0"/>
    <n v="1"/>
    <n v="0"/>
    <n v="0"/>
    <n v="0"/>
    <n v="0"/>
    <n v="0"/>
    <n v="0"/>
    <n v="0"/>
    <n v="0"/>
    <s v="SPn 200925"/>
    <m/>
    <n v="0"/>
    <n v="0"/>
    <n v="0"/>
    <n v="0"/>
    <n v="0"/>
    <n v="0"/>
    <n v="3.125"/>
    <n v="3.125"/>
    <n v="0"/>
    <n v="0"/>
    <n v="0"/>
    <n v="0"/>
    <n v="0"/>
    <n v="0"/>
    <n v="0"/>
    <n v="0"/>
    <n v="0"/>
    <n v="0"/>
    <n v="0"/>
    <n v="0"/>
    <n v="0"/>
    <n v="0"/>
    <n v="0"/>
  </r>
  <r>
    <x v="10"/>
    <s v="Bedömning - grundnivå (VAL, ULV)"/>
    <m/>
    <s v="LYLÄP"/>
    <s v="V18"/>
    <s v="HT"/>
    <s v="H2011-20"/>
    <m/>
    <m/>
    <m/>
    <m/>
    <n v="50"/>
    <n v="7.5"/>
    <n v="4"/>
    <n v="0.5"/>
    <n v="1"/>
    <n v="0.5"/>
    <n v="5740"/>
    <s v="NMD"/>
    <s v="TekNat"/>
    <s v="VAL-projektet"/>
    <n v="24104"/>
    <n v="31432"/>
    <n v="27768"/>
    <n v="5900"/>
    <n v="2950"/>
    <n v="30718"/>
    <n v="0"/>
    <n v="0"/>
    <n v="0"/>
    <n v="1"/>
    <n v="0"/>
    <n v="0"/>
    <n v="0"/>
    <n v="0"/>
    <n v="0"/>
    <n v="0"/>
    <n v="0"/>
    <n v="0"/>
    <s v="SPn 200925"/>
    <m/>
    <n v="0"/>
    <n v="0"/>
    <n v="0"/>
    <n v="0"/>
    <n v="0"/>
    <n v="0"/>
    <n v="0.5"/>
    <n v="0.5"/>
    <n v="0"/>
    <n v="0"/>
    <n v="0"/>
    <n v="0"/>
    <n v="0"/>
    <n v="0"/>
    <n v="0"/>
    <n v="0"/>
    <n v="0"/>
    <n v="0"/>
    <n v="0"/>
    <n v="0"/>
    <n v="0"/>
    <n v="0"/>
    <n v="0"/>
  </r>
  <r>
    <x v="10"/>
    <s v="Bedömning - grundnivå (VAL, ULV)"/>
    <m/>
    <s v="LYLÄP"/>
    <s v="V19"/>
    <s v="HT"/>
    <s v="H2011-20"/>
    <m/>
    <m/>
    <m/>
    <m/>
    <n v="50"/>
    <n v="7.5"/>
    <n v="4"/>
    <n v="0.5"/>
    <n v="1"/>
    <n v="0.5"/>
    <n v="5740"/>
    <s v="NMD"/>
    <s v="TekNat"/>
    <s v="VAL-projektet"/>
    <n v="24104"/>
    <n v="31432"/>
    <n v="27768"/>
    <n v="5900"/>
    <n v="2950"/>
    <n v="30718"/>
    <n v="0"/>
    <n v="0"/>
    <n v="0"/>
    <n v="1"/>
    <n v="0"/>
    <n v="0"/>
    <n v="0"/>
    <n v="0"/>
    <n v="0"/>
    <n v="0"/>
    <n v="0"/>
    <n v="0"/>
    <s v="SPn 200925"/>
    <m/>
    <n v="0"/>
    <n v="0"/>
    <n v="0"/>
    <n v="0"/>
    <n v="0"/>
    <n v="0"/>
    <n v="0.5"/>
    <n v="0.5"/>
    <n v="0"/>
    <n v="0"/>
    <n v="0"/>
    <n v="0"/>
    <n v="0"/>
    <n v="0"/>
    <n v="0"/>
    <n v="0"/>
    <n v="0"/>
    <n v="0"/>
    <n v="0"/>
    <n v="0"/>
    <n v="0"/>
    <n v="0"/>
    <n v="0"/>
  </r>
  <r>
    <x v="10"/>
    <s v="Bedömning - grundnivå (VAL, ULV)"/>
    <m/>
    <s v="LYLÄP"/>
    <s v="V20"/>
    <s v="HT"/>
    <s v="H2011-20"/>
    <m/>
    <m/>
    <m/>
    <m/>
    <n v="50"/>
    <n v="7.5"/>
    <n v="5"/>
    <n v="0.625"/>
    <n v="1"/>
    <n v="0.625"/>
    <n v="5740"/>
    <s v="NMD"/>
    <s v="TekNat"/>
    <s v="VAL-projektet"/>
    <n v="24104"/>
    <n v="31432"/>
    <n v="34710"/>
    <n v="5900"/>
    <n v="3687.5"/>
    <n v="38397.5"/>
    <n v="0"/>
    <n v="0"/>
    <n v="0"/>
    <n v="1"/>
    <n v="0"/>
    <n v="0"/>
    <n v="0"/>
    <n v="0"/>
    <n v="0"/>
    <n v="0"/>
    <n v="0"/>
    <n v="0"/>
    <s v="SPn 200925"/>
    <m/>
    <n v="0"/>
    <n v="0"/>
    <n v="0"/>
    <n v="0"/>
    <n v="0"/>
    <n v="0"/>
    <n v="0.625"/>
    <n v="0.625"/>
    <n v="0"/>
    <n v="0"/>
    <n v="0"/>
    <n v="0"/>
    <n v="0"/>
    <n v="0"/>
    <n v="0"/>
    <n v="0"/>
    <n v="0"/>
    <n v="0"/>
    <n v="0"/>
    <n v="0"/>
    <n v="0"/>
    <n v="0"/>
    <n v="0"/>
  </r>
  <r>
    <x v="12"/>
    <s v="Vetenskap och kunskap - grundnivå (VAL, ULV)"/>
    <m/>
    <s v="LYLÄP"/>
    <s v="H18"/>
    <s v="HT"/>
    <s v="H2011-20"/>
    <m/>
    <m/>
    <m/>
    <m/>
    <n v="50"/>
    <n v="7.5"/>
    <n v="4"/>
    <n v="0.5"/>
    <n v="1"/>
    <n v="0.5"/>
    <n v="5740"/>
    <s v="NMD"/>
    <s v="TekNat"/>
    <s v="VAL-projektet"/>
    <n v="24104"/>
    <n v="31432"/>
    <n v="27768"/>
    <n v="5900"/>
    <n v="2950"/>
    <n v="30718"/>
    <n v="0"/>
    <n v="0"/>
    <n v="0"/>
    <n v="1"/>
    <n v="0"/>
    <n v="0"/>
    <n v="0"/>
    <n v="0"/>
    <n v="0"/>
    <n v="0"/>
    <n v="0"/>
    <n v="0"/>
    <s v="SPn 200925"/>
    <m/>
    <n v="0"/>
    <n v="0"/>
    <n v="0"/>
    <n v="0"/>
    <n v="0"/>
    <n v="0"/>
    <n v="0.5"/>
    <n v="0.5"/>
    <n v="0"/>
    <n v="0"/>
    <n v="0"/>
    <n v="0"/>
    <n v="0"/>
    <n v="0"/>
    <n v="0"/>
    <n v="0"/>
    <n v="0"/>
    <n v="0"/>
    <n v="0"/>
    <n v="0"/>
    <n v="0"/>
    <n v="0"/>
    <n v="0"/>
  </r>
  <r>
    <x v="12"/>
    <s v="Vetenskap och kunskap - grundnivå (VAL, ULV)"/>
    <m/>
    <s v="LYLÄP"/>
    <s v="H19"/>
    <s v="HT"/>
    <s v="H2011-20"/>
    <m/>
    <m/>
    <m/>
    <m/>
    <n v="50"/>
    <n v="7.5"/>
    <n v="6"/>
    <n v="0.75"/>
    <n v="1"/>
    <n v="0.75"/>
    <n v="5740"/>
    <s v="NMD"/>
    <s v="TekNat"/>
    <s v="VAL-projektet"/>
    <n v="24104"/>
    <n v="31432"/>
    <n v="41652"/>
    <n v="5900"/>
    <n v="4425"/>
    <n v="46077"/>
    <n v="0"/>
    <n v="0"/>
    <n v="0"/>
    <n v="1"/>
    <n v="0"/>
    <n v="0"/>
    <n v="0"/>
    <n v="0"/>
    <n v="0"/>
    <n v="0"/>
    <n v="0"/>
    <n v="0"/>
    <s v="SPn 200925"/>
    <m/>
    <n v="0"/>
    <n v="0"/>
    <n v="0"/>
    <n v="0"/>
    <n v="0"/>
    <n v="0"/>
    <n v="0.75"/>
    <n v="0.75"/>
    <n v="0"/>
    <n v="0"/>
    <n v="0"/>
    <n v="0"/>
    <n v="0"/>
    <n v="0"/>
    <n v="0"/>
    <n v="0"/>
    <n v="0"/>
    <n v="0"/>
    <n v="0"/>
    <n v="0"/>
    <n v="0"/>
    <n v="0"/>
    <n v="0"/>
  </r>
  <r>
    <x v="12"/>
    <s v="Vetenskap och kunskap - grundnivå (VAL, ULV)"/>
    <m/>
    <s v="LYLÄP"/>
    <s v="H20"/>
    <s v="HT"/>
    <s v="H2011-20"/>
    <m/>
    <m/>
    <m/>
    <m/>
    <n v="50"/>
    <n v="7.5"/>
    <n v="16"/>
    <n v="2"/>
    <n v="1"/>
    <n v="2"/>
    <n v="5740"/>
    <s v="NMD"/>
    <s v="TekNat"/>
    <s v="VAL-projektet"/>
    <n v="24104"/>
    <n v="31432"/>
    <n v="111072"/>
    <n v="5900"/>
    <n v="11800"/>
    <n v="122872"/>
    <n v="0"/>
    <n v="0"/>
    <n v="0"/>
    <n v="1"/>
    <n v="0"/>
    <n v="0"/>
    <n v="0"/>
    <n v="0"/>
    <n v="0"/>
    <n v="0"/>
    <n v="0"/>
    <n v="0"/>
    <s v="SPn 200925"/>
    <m/>
    <n v="0"/>
    <n v="0"/>
    <n v="0"/>
    <n v="0"/>
    <n v="0"/>
    <n v="0"/>
    <n v="2"/>
    <n v="2"/>
    <n v="0"/>
    <n v="0"/>
    <n v="0"/>
    <n v="0"/>
    <n v="0"/>
    <n v="0"/>
    <n v="0"/>
    <n v="0"/>
    <n v="0"/>
    <n v="0"/>
    <n v="0"/>
    <n v="0"/>
    <n v="0"/>
    <n v="0"/>
    <n v="0"/>
  </r>
  <r>
    <x v="12"/>
    <s v="Vetenskap och kunskap - grundnivå (VAL, ULV)"/>
    <m/>
    <s v="LYLÄP"/>
    <s v="V18"/>
    <s v="HT"/>
    <s v="H2011-20"/>
    <m/>
    <m/>
    <m/>
    <m/>
    <n v="50"/>
    <n v="7.5"/>
    <n v="1"/>
    <n v="0.125"/>
    <n v="1"/>
    <n v="0.125"/>
    <n v="5740"/>
    <s v="NMD"/>
    <s v="TekNat"/>
    <s v="VAL-projektet"/>
    <n v="24104"/>
    <n v="31432"/>
    <n v="6942"/>
    <n v="5900"/>
    <n v="737.5"/>
    <n v="7679.5"/>
    <n v="0"/>
    <n v="0"/>
    <n v="0"/>
    <n v="1"/>
    <n v="0"/>
    <n v="0"/>
    <n v="0"/>
    <n v="0"/>
    <n v="0"/>
    <n v="0"/>
    <n v="0"/>
    <n v="0"/>
    <s v="SPn 200925"/>
    <m/>
    <n v="0"/>
    <n v="0"/>
    <n v="0"/>
    <n v="0"/>
    <n v="0"/>
    <n v="0"/>
    <n v="0.125"/>
    <n v="0.125"/>
    <n v="0"/>
    <n v="0"/>
    <n v="0"/>
    <n v="0"/>
    <n v="0"/>
    <n v="0"/>
    <n v="0"/>
    <n v="0"/>
    <n v="0"/>
    <n v="0"/>
    <n v="0"/>
    <n v="0"/>
    <n v="0"/>
    <n v="0"/>
    <n v="0"/>
  </r>
  <r>
    <x v="12"/>
    <s v="Vetenskap och kunskap - grundnivå (VAL, ULV)"/>
    <m/>
    <s v="LYLÄP"/>
    <s v="V19"/>
    <s v="HT"/>
    <s v="H2011-20"/>
    <m/>
    <m/>
    <m/>
    <m/>
    <n v="50"/>
    <n v="7.5"/>
    <n v="1"/>
    <n v="0.125"/>
    <n v="1"/>
    <n v="0.125"/>
    <n v="5740"/>
    <s v="NMD"/>
    <s v="TekNat"/>
    <s v="VAL-projektet"/>
    <n v="24104"/>
    <n v="31432"/>
    <n v="6942"/>
    <n v="5900"/>
    <n v="737.5"/>
    <n v="7679.5"/>
    <n v="0"/>
    <n v="0"/>
    <n v="0"/>
    <n v="1"/>
    <n v="0"/>
    <n v="0"/>
    <n v="0"/>
    <n v="0"/>
    <n v="0"/>
    <n v="0"/>
    <n v="0"/>
    <n v="0"/>
    <s v="SPn 200925"/>
    <m/>
    <n v="0"/>
    <n v="0"/>
    <n v="0"/>
    <n v="0"/>
    <n v="0"/>
    <n v="0"/>
    <n v="0.125"/>
    <n v="0.125"/>
    <n v="0"/>
    <n v="0"/>
    <n v="0"/>
    <n v="0"/>
    <n v="0"/>
    <n v="0"/>
    <n v="0"/>
    <n v="0"/>
    <n v="0"/>
    <n v="0"/>
    <n v="0"/>
    <n v="0"/>
    <n v="0"/>
    <n v="0"/>
    <n v="0"/>
  </r>
  <r>
    <x v="12"/>
    <s v="Vetenskap och kunskap - grundnivå (VAL, ULV)"/>
    <m/>
    <s v="LYLÄP"/>
    <s v="V20"/>
    <s v="HT"/>
    <s v="H2011-20"/>
    <m/>
    <m/>
    <m/>
    <m/>
    <n v="50"/>
    <n v="7.5"/>
    <n v="4"/>
    <n v="0.5"/>
    <n v="1"/>
    <n v="0.5"/>
    <n v="5740"/>
    <s v="NMD"/>
    <s v="TekNat"/>
    <s v="VAL-projektet"/>
    <n v="24104"/>
    <n v="31432"/>
    <n v="27768"/>
    <n v="5900"/>
    <n v="2950"/>
    <n v="30718"/>
    <n v="0"/>
    <n v="0"/>
    <n v="0"/>
    <n v="1"/>
    <n v="0"/>
    <n v="0"/>
    <n v="0"/>
    <n v="0"/>
    <n v="0"/>
    <n v="0"/>
    <n v="0"/>
    <n v="0"/>
    <s v="SPn 200925"/>
    <m/>
    <n v="0"/>
    <n v="0"/>
    <n v="0"/>
    <n v="0"/>
    <n v="0"/>
    <n v="0"/>
    <n v="0.5"/>
    <n v="0.5"/>
    <n v="0"/>
    <n v="0"/>
    <n v="0"/>
    <n v="0"/>
    <n v="0"/>
    <n v="0"/>
    <n v="0"/>
    <n v="0"/>
    <n v="0"/>
    <n v="0"/>
    <n v="0"/>
    <n v="0"/>
    <n v="0"/>
    <n v="0"/>
    <n v="0"/>
  </r>
  <r>
    <x v="57"/>
    <s v="Ämnesdidaktik i skolpraktiken, del 2"/>
    <m/>
    <s v="LYLÄP"/>
    <s v="H19"/>
    <s v="HT"/>
    <s v="H201-20"/>
    <m/>
    <m/>
    <m/>
    <m/>
    <n v="50"/>
    <n v="15"/>
    <n v="9"/>
    <n v="2.25"/>
    <n v="1"/>
    <n v="2.25"/>
    <n v="1650"/>
    <s v="Estetiska ämnen               "/>
    <s v="Hum"/>
    <s v="VAL-projektet"/>
    <n v="24740"/>
    <n v="27503"/>
    <n v="117546.75"/>
    <n v="3500"/>
    <n v="7875"/>
    <n v="125421.75"/>
    <n v="0"/>
    <n v="0"/>
    <n v="0"/>
    <n v="0"/>
    <n v="0"/>
    <n v="0"/>
    <n v="0"/>
    <n v="0"/>
    <n v="1"/>
    <n v="0"/>
    <n v="0"/>
    <n v="0"/>
    <s v="SPn 200925"/>
    <m/>
    <n v="0"/>
    <n v="0"/>
    <n v="0"/>
    <n v="0"/>
    <n v="0"/>
    <n v="0"/>
    <n v="0"/>
    <n v="0"/>
    <n v="0"/>
    <n v="0"/>
    <n v="0"/>
    <n v="0"/>
    <n v="0"/>
    <n v="0"/>
    <n v="0"/>
    <n v="0"/>
    <n v="2.25"/>
    <n v="2.25"/>
    <n v="0"/>
    <n v="0"/>
    <n v="0"/>
    <n v="0"/>
    <n v="0"/>
  </r>
  <r>
    <x v="57"/>
    <s v="Ämnesdidaktik i skolpraktiken, del 2"/>
    <m/>
    <s v="LYLÄP"/>
    <s v="H20"/>
    <s v="HT"/>
    <s v="H201-20"/>
    <m/>
    <m/>
    <m/>
    <m/>
    <n v="50"/>
    <n v="15"/>
    <n v="16"/>
    <n v="4"/>
    <n v="1"/>
    <n v="4"/>
    <n v="1650"/>
    <s v="Estetiska ämnen               "/>
    <s v="Hum"/>
    <s v="VAL-projektet"/>
    <n v="24740"/>
    <n v="27503"/>
    <n v="208972"/>
    <n v="3500"/>
    <n v="14000"/>
    <n v="222972"/>
    <n v="0"/>
    <n v="0"/>
    <n v="0"/>
    <n v="0"/>
    <n v="0"/>
    <n v="0"/>
    <n v="0"/>
    <n v="0"/>
    <n v="1"/>
    <n v="0"/>
    <n v="0"/>
    <n v="0"/>
    <s v="SPn 200925"/>
    <m/>
    <n v="0"/>
    <n v="0"/>
    <n v="0"/>
    <n v="0"/>
    <n v="0"/>
    <n v="0"/>
    <n v="0"/>
    <n v="0"/>
    <n v="0"/>
    <n v="0"/>
    <n v="0"/>
    <n v="0"/>
    <n v="0"/>
    <n v="0"/>
    <n v="0"/>
    <n v="0"/>
    <n v="4"/>
    <n v="4"/>
    <n v="0"/>
    <n v="0"/>
    <n v="0"/>
    <n v="0"/>
    <n v="0"/>
  </r>
  <r>
    <x v="57"/>
    <s v="Ämnesdidaktik i skolpraktiken, del 2"/>
    <m/>
    <s v="LYLÄP"/>
    <s v="V20"/>
    <s v="HT"/>
    <s v="H201-20"/>
    <m/>
    <m/>
    <m/>
    <m/>
    <n v="50"/>
    <n v="15"/>
    <n v="3"/>
    <n v="0.75"/>
    <n v="1"/>
    <n v="0.75"/>
    <n v="1650"/>
    <s v="Estetiska ämnen               "/>
    <s v="Hum"/>
    <s v="VAL-projektet"/>
    <n v="24740"/>
    <n v="27503"/>
    <n v="39182.25"/>
    <n v="3500"/>
    <n v="2625"/>
    <n v="41807.25"/>
    <n v="0"/>
    <n v="0"/>
    <n v="0"/>
    <n v="0"/>
    <n v="0"/>
    <n v="0"/>
    <n v="0"/>
    <n v="0"/>
    <n v="1"/>
    <n v="0"/>
    <n v="0"/>
    <n v="0"/>
    <s v="SPn 200925"/>
    <m/>
    <n v="0"/>
    <n v="0"/>
    <n v="0"/>
    <n v="0"/>
    <n v="0"/>
    <n v="0"/>
    <n v="0"/>
    <n v="0"/>
    <n v="0"/>
    <n v="0"/>
    <n v="0"/>
    <n v="0"/>
    <n v="0"/>
    <n v="0"/>
    <n v="0"/>
    <n v="0"/>
    <n v="0.75"/>
    <n v="0.75"/>
    <n v="0"/>
    <n v="0"/>
    <n v="0"/>
    <n v="0"/>
    <n v="0"/>
  </r>
  <r>
    <x v="15"/>
    <s v="Bild 1 distans"/>
    <m/>
    <s v="LYLÄP"/>
    <s v="H20"/>
    <s v="HT"/>
    <s v="H201-20:V211-20"/>
    <m/>
    <m/>
    <m/>
    <m/>
    <n v="50"/>
    <n v="15"/>
    <n v="1"/>
    <n v="0.25"/>
    <n v="1"/>
    <n v="0.25"/>
    <n v="1650"/>
    <s v="Estetiska ämnen               "/>
    <s v="Hum"/>
    <s v="VAL-projektet"/>
    <n v="48895"/>
    <n v="58097"/>
    <n v="26748"/>
    <n v="70300"/>
    <n v="17575"/>
    <n v="44323"/>
    <n v="1"/>
    <n v="0"/>
    <n v="0"/>
    <n v="0"/>
    <n v="0"/>
    <n v="0"/>
    <n v="0"/>
    <n v="0"/>
    <n v="0"/>
    <n v="0"/>
    <n v="0"/>
    <n v="0"/>
    <s v="SPn 200925"/>
    <s v="Läser 15 hp denna termin"/>
    <n v="0.25"/>
    <n v="0.25"/>
    <n v="0"/>
    <n v="0"/>
    <n v="0"/>
    <n v="0"/>
    <n v="0"/>
    <n v="0"/>
    <n v="0"/>
    <n v="0"/>
    <n v="0"/>
    <n v="0"/>
    <n v="0"/>
    <n v="0"/>
    <n v="0"/>
    <n v="0"/>
    <n v="0"/>
    <n v="0"/>
    <n v="0"/>
    <n v="0"/>
    <n v="0"/>
    <n v="0"/>
    <n v="0"/>
  </r>
  <r>
    <x v="15"/>
    <s v="Bild 1 distans"/>
    <m/>
    <s v="LYLÄP"/>
    <s v="V20"/>
    <s v="HT"/>
    <s v="H201-20:V211-20"/>
    <m/>
    <m/>
    <m/>
    <m/>
    <n v="50"/>
    <n v="15"/>
    <n v="1"/>
    <n v="0.25"/>
    <n v="1"/>
    <n v="0.25"/>
    <n v="1650"/>
    <s v="Estetiska ämnen               "/>
    <s v="Hum"/>
    <s v="VAL-projektet"/>
    <n v="48895"/>
    <n v="58097"/>
    <n v="26748"/>
    <n v="70300"/>
    <n v="17575"/>
    <n v="44323"/>
    <n v="1"/>
    <n v="0"/>
    <n v="0"/>
    <n v="0"/>
    <n v="0"/>
    <n v="0"/>
    <n v="0"/>
    <n v="0"/>
    <n v="0"/>
    <n v="0"/>
    <n v="0"/>
    <n v="0"/>
    <s v="SPn 200925"/>
    <s v="Läser 15 hp denna termin"/>
    <n v="0.25"/>
    <n v="0.25"/>
    <n v="0"/>
    <n v="0"/>
    <n v="0"/>
    <n v="0"/>
    <n v="0"/>
    <n v="0"/>
    <n v="0"/>
    <n v="0"/>
    <n v="0"/>
    <n v="0"/>
    <n v="0"/>
    <n v="0"/>
    <n v="0"/>
    <n v="0"/>
    <n v="0"/>
    <n v="0"/>
    <n v="0"/>
    <n v="0"/>
    <n v="0"/>
    <n v="0"/>
    <n v="0"/>
  </r>
  <r>
    <x v="58"/>
    <s v="Bild 2a, distans"/>
    <m/>
    <s v="LYLÄP"/>
    <s v="H20"/>
    <s v="HT"/>
    <s v="H201-20"/>
    <m/>
    <m/>
    <m/>
    <m/>
    <n v="50"/>
    <n v="15"/>
    <n v="3"/>
    <n v="0.75"/>
    <n v="1"/>
    <n v="0.75"/>
    <n v="1650"/>
    <s v="Estetiska ämnen               "/>
    <s v="Hum"/>
    <s v="VAL-projektet"/>
    <n v="48895"/>
    <n v="58097"/>
    <n v="80244"/>
    <n v="70300"/>
    <n v="52725"/>
    <n v="132969"/>
    <n v="1"/>
    <n v="0"/>
    <n v="0"/>
    <n v="0"/>
    <n v="0"/>
    <n v="0"/>
    <n v="0"/>
    <n v="0"/>
    <n v="0"/>
    <n v="0"/>
    <n v="0"/>
    <n v="0"/>
    <s v="SPn 200925"/>
    <m/>
    <n v="0.75"/>
    <n v="0.75"/>
    <n v="0"/>
    <n v="0"/>
    <n v="0"/>
    <n v="0"/>
    <n v="0"/>
    <n v="0"/>
    <n v="0"/>
    <n v="0"/>
    <n v="0"/>
    <n v="0"/>
    <n v="0"/>
    <n v="0"/>
    <n v="0"/>
    <n v="0"/>
    <n v="0"/>
    <n v="0"/>
    <n v="0"/>
    <n v="0"/>
    <n v="0"/>
    <n v="0"/>
    <n v="0"/>
  </r>
  <r>
    <x v="58"/>
    <s v="Bild 2a, distans"/>
    <m/>
    <s v="LYLÄP"/>
    <s v="V20"/>
    <s v="HT"/>
    <s v="H201-20"/>
    <m/>
    <m/>
    <m/>
    <m/>
    <n v="50"/>
    <n v="15"/>
    <n v="1"/>
    <n v="0.25"/>
    <n v="1"/>
    <n v="0.25"/>
    <n v="1650"/>
    <s v="Estetiska ämnen               "/>
    <s v="Hum"/>
    <s v="VAL-projektet"/>
    <n v="48895"/>
    <n v="58097"/>
    <n v="26748"/>
    <n v="70300"/>
    <n v="17575"/>
    <n v="44323"/>
    <n v="1"/>
    <n v="0"/>
    <n v="0"/>
    <n v="0"/>
    <n v="0"/>
    <n v="0"/>
    <n v="0"/>
    <n v="0"/>
    <n v="0"/>
    <n v="0"/>
    <n v="0"/>
    <n v="0"/>
    <s v="SPn 200925"/>
    <m/>
    <n v="0.25"/>
    <n v="0.25"/>
    <n v="0"/>
    <n v="0"/>
    <n v="0"/>
    <n v="0"/>
    <n v="0"/>
    <n v="0"/>
    <n v="0"/>
    <n v="0"/>
    <n v="0"/>
    <n v="0"/>
    <n v="0"/>
    <n v="0"/>
    <n v="0"/>
    <n v="0"/>
    <n v="0"/>
    <n v="0"/>
    <n v="0"/>
    <n v="0"/>
    <n v="0"/>
    <n v="0"/>
    <n v="0"/>
  </r>
  <r>
    <x v="17"/>
    <s v="Skapande bild, distans"/>
    <m/>
    <s v="LYLÄP"/>
    <s v="H20"/>
    <s v="HT"/>
    <s v="H201-20:V211-20"/>
    <m/>
    <m/>
    <m/>
    <m/>
    <n v="50"/>
    <n v="15"/>
    <n v="3"/>
    <n v="0.75"/>
    <n v="1"/>
    <n v="0.75"/>
    <n v="1650"/>
    <s v="Estetiska ämnen               "/>
    <s v="Hum"/>
    <s v="VAL-projektet"/>
    <n v="41445.5"/>
    <n v="47591.5"/>
    <n v="66777.75"/>
    <n v="54200"/>
    <n v="40650"/>
    <n v="107427.75"/>
    <n v="0.75"/>
    <n v="0.25"/>
    <n v="0"/>
    <n v="0"/>
    <n v="0"/>
    <n v="0"/>
    <n v="0"/>
    <n v="0"/>
    <n v="0"/>
    <n v="0"/>
    <n v="0"/>
    <n v="0"/>
    <s v="SPn 200925"/>
    <s v="Läser 15 hp denna termin"/>
    <n v="0.5625"/>
    <n v="0.5625"/>
    <n v="0.1875"/>
    <n v="0.1875"/>
    <n v="0"/>
    <n v="0"/>
    <n v="0"/>
    <n v="0"/>
    <n v="0"/>
    <n v="0"/>
    <n v="0"/>
    <n v="0"/>
    <n v="0"/>
    <n v="0"/>
    <n v="0"/>
    <n v="0"/>
    <n v="0"/>
    <n v="0"/>
    <n v="0"/>
    <n v="0"/>
    <n v="0"/>
    <n v="0"/>
    <n v="0"/>
  </r>
  <r>
    <x v="20"/>
    <s v="Hem- och konsumentkunskap A"/>
    <m/>
    <s v="LYLÄP"/>
    <s v="H20"/>
    <s v="HT"/>
    <s v="H201-20:V211-20"/>
    <m/>
    <m/>
    <m/>
    <m/>
    <n v="50"/>
    <n v="15"/>
    <n v="3"/>
    <n v="0.75"/>
    <n v="1"/>
    <n v="0.75"/>
    <n v="2650"/>
    <s v="Kostvetenskap                 "/>
    <s v="Sam"/>
    <s v="VAL-projektet"/>
    <n v="19863"/>
    <n v="35472"/>
    <n v="41501.25"/>
    <n v="22200"/>
    <n v="16650"/>
    <n v="58151.25"/>
    <n v="0"/>
    <n v="0"/>
    <n v="0"/>
    <n v="0"/>
    <n v="0"/>
    <n v="1"/>
    <n v="0"/>
    <n v="0"/>
    <n v="0"/>
    <n v="0"/>
    <n v="0"/>
    <n v="0"/>
    <s v="SPn 200925"/>
    <s v="Läser 15 hp denna termin"/>
    <n v="0"/>
    <n v="0"/>
    <n v="0"/>
    <n v="0"/>
    <n v="0"/>
    <n v="0"/>
    <n v="0"/>
    <n v="0"/>
    <n v="0"/>
    <n v="0"/>
    <n v="0.75"/>
    <n v="0.75"/>
    <n v="0"/>
    <n v="0"/>
    <n v="0"/>
    <n v="0"/>
    <n v="0"/>
    <n v="0"/>
    <n v="0"/>
    <n v="0"/>
    <n v="0"/>
    <n v="0"/>
    <n v="0"/>
  </r>
  <r>
    <x v="59"/>
    <s v="Hem- och konsumentkunskap B"/>
    <m/>
    <s v="LYLÄP"/>
    <s v="H20"/>
    <s v="HT"/>
    <s v="H201-20"/>
    <m/>
    <m/>
    <m/>
    <m/>
    <n v="100"/>
    <n v="30"/>
    <n v="2"/>
    <n v="1"/>
    <n v="1"/>
    <n v="1"/>
    <n v="2650"/>
    <s v="Kostvetenskap                 "/>
    <s v="Sam"/>
    <s v="VAL-projektet"/>
    <n v="19863"/>
    <n v="35472"/>
    <n v="55335"/>
    <n v="22200"/>
    <n v="22200"/>
    <n v="77535"/>
    <n v="0"/>
    <n v="0"/>
    <n v="0"/>
    <n v="0"/>
    <n v="0"/>
    <n v="1"/>
    <n v="0"/>
    <n v="0"/>
    <n v="0"/>
    <n v="0"/>
    <n v="0"/>
    <n v="0"/>
    <s v="SPn 200925"/>
    <m/>
    <n v="0"/>
    <n v="0"/>
    <n v="0"/>
    <n v="0"/>
    <n v="0"/>
    <n v="0"/>
    <n v="0"/>
    <n v="0"/>
    <n v="0"/>
    <n v="0"/>
    <n v="1"/>
    <n v="1"/>
    <n v="0"/>
    <n v="0"/>
    <n v="0"/>
    <n v="0"/>
    <n v="0"/>
    <n v="0"/>
    <n v="0"/>
    <n v="0"/>
    <n v="0"/>
    <n v="0"/>
    <n v="0"/>
  </r>
  <r>
    <x v="59"/>
    <s v="Hem- och konsumentkunskap B"/>
    <m/>
    <s v="LYLÄP"/>
    <s v="V20"/>
    <s v="HT"/>
    <s v="H201-20"/>
    <m/>
    <m/>
    <m/>
    <m/>
    <n v="100"/>
    <n v="30"/>
    <n v="1"/>
    <n v="0.5"/>
    <n v="1"/>
    <n v="0.5"/>
    <n v="2650"/>
    <s v="Kostvetenskap                 "/>
    <s v="Sam"/>
    <s v="VAL-projektet"/>
    <n v="19863"/>
    <n v="35472"/>
    <n v="27667.5"/>
    <n v="22200"/>
    <n v="11100"/>
    <n v="38767.5"/>
    <n v="0"/>
    <n v="0"/>
    <n v="0"/>
    <n v="0"/>
    <n v="0"/>
    <n v="1"/>
    <n v="0"/>
    <n v="0"/>
    <n v="0"/>
    <n v="0"/>
    <n v="0"/>
    <n v="0"/>
    <s v="SPn 200925"/>
    <m/>
    <n v="0"/>
    <n v="0"/>
    <n v="0"/>
    <n v="0"/>
    <n v="0"/>
    <n v="0"/>
    <n v="0"/>
    <n v="0"/>
    <n v="0"/>
    <n v="0"/>
    <n v="0.5"/>
    <n v="0.5"/>
    <n v="0"/>
    <n v="0"/>
    <n v="0"/>
    <n v="0"/>
    <n v="0"/>
    <n v="0"/>
    <n v="0"/>
    <n v="0"/>
    <n v="0"/>
    <n v="0"/>
    <n v="0"/>
  </r>
  <r>
    <x v="60"/>
    <s v="Hem- och konsumentkunskap B15"/>
    <m/>
    <s v="LYLÄP"/>
    <s v="H20"/>
    <s v="HT"/>
    <s v="H201-10"/>
    <m/>
    <m/>
    <m/>
    <m/>
    <n v="100"/>
    <n v="15"/>
    <n v="1"/>
    <n v="0.25"/>
    <n v="1"/>
    <n v="0.25"/>
    <n v="2650"/>
    <s v="Kostvetenskap                 "/>
    <s v="Sam"/>
    <s v="VAL-projektet"/>
    <n v="19863"/>
    <n v="35472"/>
    <n v="13833.75"/>
    <n v="22200"/>
    <n v="5550"/>
    <n v="19383.75"/>
    <n v="0"/>
    <n v="0"/>
    <n v="0"/>
    <n v="0"/>
    <n v="0"/>
    <n v="1"/>
    <n v="0"/>
    <n v="0"/>
    <n v="0"/>
    <n v="0"/>
    <n v="0"/>
    <n v="0"/>
    <s v="SPn 200925"/>
    <m/>
    <n v="0"/>
    <n v="0"/>
    <n v="0"/>
    <n v="0"/>
    <n v="0"/>
    <n v="0"/>
    <n v="0"/>
    <n v="0"/>
    <n v="0"/>
    <n v="0"/>
    <n v="0.25"/>
    <n v="0.25"/>
    <n v="0"/>
    <n v="0"/>
    <n v="0"/>
    <n v="0"/>
    <n v="0"/>
    <n v="0"/>
    <n v="0"/>
    <n v="0"/>
    <n v="0"/>
    <n v="0"/>
    <n v="0"/>
  </r>
  <r>
    <x v="61"/>
    <s v="Läs - och skrivutveckling, kurs 3"/>
    <m/>
    <s v="LYLÄP"/>
    <s v="H20"/>
    <s v="HT"/>
    <s v="H201-20"/>
    <m/>
    <m/>
    <m/>
    <m/>
    <n v="50"/>
    <n v="15"/>
    <n v="10"/>
    <n v="2.5"/>
    <n v="1"/>
    <n v="2.5"/>
    <n v="1620"/>
    <s v="Inst för språkstudier"/>
    <s v="Hum"/>
    <s v="VAL-projektet"/>
    <n v="19097"/>
    <n v="16075"/>
    <n v="87930"/>
    <n v="5900"/>
    <n v="14750"/>
    <n v="102680"/>
    <n v="0"/>
    <n v="1"/>
    <n v="0"/>
    <n v="0"/>
    <n v="0"/>
    <n v="0"/>
    <n v="0"/>
    <n v="0"/>
    <n v="0"/>
    <n v="0"/>
    <n v="0"/>
    <n v="0"/>
    <s v="SPn 200925"/>
    <m/>
    <n v="0"/>
    <n v="0"/>
    <n v="2.5"/>
    <n v="2.5"/>
    <n v="0"/>
    <n v="0"/>
    <n v="0"/>
    <n v="0"/>
    <n v="0"/>
    <n v="0"/>
    <n v="0"/>
    <n v="0"/>
    <n v="0"/>
    <n v="0"/>
    <n v="0"/>
    <n v="0"/>
    <n v="0"/>
    <n v="0"/>
    <n v="0"/>
    <n v="0"/>
    <n v="0"/>
    <n v="0"/>
    <n v="0"/>
  </r>
  <r>
    <x v="61"/>
    <s v="Läs - och skrivutveckling, kurs 3"/>
    <m/>
    <s v="LYLÄP"/>
    <s v="V20"/>
    <s v="HT"/>
    <s v="H201-20"/>
    <m/>
    <m/>
    <m/>
    <m/>
    <n v="50"/>
    <n v="15"/>
    <n v="2"/>
    <n v="0.5"/>
    <n v="1"/>
    <n v="0.5"/>
    <n v="1620"/>
    <s v="Inst för språkstudier"/>
    <s v="Hum"/>
    <s v="VAL-projektet"/>
    <n v="19097"/>
    <n v="16075"/>
    <n v="17586"/>
    <n v="5900"/>
    <n v="2950"/>
    <n v="20536"/>
    <n v="0"/>
    <n v="1"/>
    <n v="0"/>
    <n v="0"/>
    <n v="0"/>
    <n v="0"/>
    <n v="0"/>
    <n v="0"/>
    <n v="0"/>
    <n v="0"/>
    <n v="0"/>
    <n v="0"/>
    <s v="SPn 200925"/>
    <m/>
    <n v="0"/>
    <n v="0"/>
    <n v="0.5"/>
    <n v="0.5"/>
    <n v="0"/>
    <n v="0"/>
    <n v="0"/>
    <n v="0"/>
    <n v="0"/>
    <n v="0"/>
    <n v="0"/>
    <n v="0"/>
    <n v="0"/>
    <n v="0"/>
    <n v="0"/>
    <n v="0"/>
    <n v="0"/>
    <n v="0"/>
    <n v="0"/>
    <n v="0"/>
    <n v="0"/>
    <n v="0"/>
    <n v="0"/>
  </r>
  <r>
    <x v="62"/>
    <s v="Matematik 3 för förskoleklass och grundskolans årskurs 1-3"/>
    <m/>
    <s v="LYLÄP"/>
    <s v="H20"/>
    <s v="HT"/>
    <s v="H206-10"/>
    <m/>
    <m/>
    <m/>
    <m/>
    <n v="100"/>
    <n v="7.5"/>
    <n v="1"/>
    <n v="0.125"/>
    <n v="1"/>
    <n v="0.125"/>
    <n v="5740"/>
    <s v="NMD"/>
    <s v="TekNat"/>
    <s v="VAL-projektet"/>
    <n v="19863"/>
    <n v="35472"/>
    <n v="6916.875"/>
    <n v="22200"/>
    <n v="2775"/>
    <n v="9691.875"/>
    <n v="0"/>
    <n v="0"/>
    <n v="0"/>
    <n v="0"/>
    <n v="0"/>
    <n v="1"/>
    <n v="0"/>
    <n v="0"/>
    <n v="0"/>
    <n v="0"/>
    <n v="0"/>
    <n v="0"/>
    <s v="SPn 200925"/>
    <m/>
    <n v="0"/>
    <n v="0"/>
    <n v="0"/>
    <n v="0"/>
    <n v="0"/>
    <n v="0"/>
    <n v="0"/>
    <n v="0"/>
    <n v="0"/>
    <n v="0"/>
    <n v="0.125"/>
    <n v="0.125"/>
    <n v="0"/>
    <n v="0"/>
    <n v="0"/>
    <n v="0"/>
    <n v="0"/>
    <n v="0"/>
    <n v="0"/>
    <n v="0"/>
    <n v="0"/>
    <n v="0"/>
    <n v="0"/>
  </r>
  <r>
    <x v="63"/>
    <s v="Matematik 2 för lärande och undervisning för förskoleklass och grundskolans årskurs 1-3"/>
    <m/>
    <s v="LYLÄP"/>
    <s v="H20"/>
    <s v="HT"/>
    <s v="H201-20"/>
    <m/>
    <m/>
    <m/>
    <m/>
    <n v="50"/>
    <n v="15"/>
    <n v="8"/>
    <n v="2"/>
    <n v="1"/>
    <n v="2"/>
    <n v="5740"/>
    <s v="NMD"/>
    <s v="TekNat"/>
    <s v="VAL-projektet"/>
    <n v="19863"/>
    <n v="35472"/>
    <n v="110670"/>
    <n v="22200"/>
    <n v="44400"/>
    <n v="155070"/>
    <n v="0"/>
    <n v="0"/>
    <n v="0"/>
    <n v="0"/>
    <n v="0"/>
    <n v="1"/>
    <n v="0"/>
    <n v="0"/>
    <n v="0"/>
    <n v="0"/>
    <n v="0"/>
    <n v="0"/>
    <s v="SPn 200925"/>
    <m/>
    <n v="0"/>
    <n v="0"/>
    <n v="0"/>
    <n v="0"/>
    <n v="0"/>
    <n v="0"/>
    <n v="0"/>
    <n v="0"/>
    <n v="0"/>
    <n v="0"/>
    <n v="2"/>
    <n v="2"/>
    <n v="0"/>
    <n v="0"/>
    <n v="0"/>
    <n v="0"/>
    <n v="0"/>
    <n v="0"/>
    <n v="0"/>
    <n v="0"/>
    <n v="0"/>
    <n v="0"/>
    <n v="0"/>
  </r>
  <r>
    <x v="64"/>
    <s v="Matematik 2 för lärande och undervisning för grundskolans årskurs 4-6"/>
    <m/>
    <s v="LYLÄP"/>
    <s v="H20"/>
    <s v="HT"/>
    <s v="H201-20"/>
    <m/>
    <m/>
    <m/>
    <m/>
    <n v="50"/>
    <n v="15"/>
    <n v="3"/>
    <n v="0.75"/>
    <n v="1"/>
    <n v="0.75"/>
    <n v="5740"/>
    <s v="NMD"/>
    <s v="TekNat"/>
    <s v="VAL-projektet"/>
    <n v="19863"/>
    <n v="35472"/>
    <n v="41501.25"/>
    <n v="22200"/>
    <n v="16650"/>
    <n v="58151.25"/>
    <n v="0"/>
    <n v="0"/>
    <n v="0"/>
    <n v="0"/>
    <n v="0"/>
    <n v="1"/>
    <n v="0"/>
    <n v="0"/>
    <n v="0"/>
    <n v="0"/>
    <n v="0"/>
    <n v="0"/>
    <s v="SPn 200925"/>
    <m/>
    <n v="0"/>
    <n v="0"/>
    <n v="0"/>
    <n v="0"/>
    <n v="0"/>
    <n v="0"/>
    <n v="0"/>
    <n v="0"/>
    <n v="0"/>
    <n v="0"/>
    <n v="0.75"/>
    <n v="0.75"/>
    <n v="0"/>
    <n v="0"/>
    <n v="0"/>
    <n v="0"/>
    <n v="0"/>
    <n v="0"/>
    <n v="0"/>
    <n v="0"/>
    <n v="0"/>
    <n v="0"/>
    <n v="0"/>
  </r>
  <r>
    <x v="31"/>
    <s v="Musik 2, distans"/>
    <m/>
    <s v="LYLÄP"/>
    <s v="H20"/>
    <s v="HT"/>
    <s v="H201-20:V211-20"/>
    <m/>
    <m/>
    <m/>
    <m/>
    <n v="50"/>
    <n v="15"/>
    <n v="2"/>
    <n v="0.5"/>
    <n v="1"/>
    <n v="0.5"/>
    <n v="1650"/>
    <s v="Estetiska ämnen               "/>
    <s v="Hum"/>
    <s v="VAL-projektet"/>
    <n v="31433"/>
    <n v="65018"/>
    <n v="48225.5"/>
    <n v="71400"/>
    <n v="35700"/>
    <n v="83925.5"/>
    <n v="0"/>
    <n v="0"/>
    <n v="0"/>
    <n v="0"/>
    <n v="1"/>
    <n v="0"/>
    <n v="0"/>
    <n v="0"/>
    <n v="0"/>
    <n v="0"/>
    <n v="0"/>
    <n v="0"/>
    <s v="SPn 200925"/>
    <s v="Läser 15 hp denna termin"/>
    <n v="0"/>
    <n v="0"/>
    <n v="0"/>
    <n v="0"/>
    <n v="0"/>
    <n v="0"/>
    <n v="0"/>
    <n v="0"/>
    <n v="0.5"/>
    <n v="0.5"/>
    <n v="0"/>
    <n v="0"/>
    <n v="0"/>
    <n v="0"/>
    <n v="0"/>
    <n v="0"/>
    <n v="0"/>
    <n v="0"/>
    <n v="0"/>
    <n v="0"/>
    <n v="0"/>
    <n v="0"/>
    <n v="0"/>
  </r>
  <r>
    <x v="32"/>
    <s v="Musik 3, distans"/>
    <m/>
    <s v="LYLÄP"/>
    <s v="H18"/>
    <s v="HT"/>
    <s v="H201-20:V211-20"/>
    <m/>
    <m/>
    <m/>
    <m/>
    <n v="50"/>
    <n v="15"/>
    <n v="1"/>
    <n v="0.25"/>
    <n v="1"/>
    <n v="0.25"/>
    <n v="1650"/>
    <s v="Estetiska ämnen               "/>
    <s v="Hum"/>
    <s v="VAL-projektet"/>
    <n v="31433"/>
    <n v="65018"/>
    <n v="24112.75"/>
    <n v="71400"/>
    <n v="17850"/>
    <n v="41962.75"/>
    <n v="0"/>
    <n v="0"/>
    <n v="0"/>
    <n v="0"/>
    <n v="1"/>
    <n v="0"/>
    <n v="0"/>
    <n v="0"/>
    <n v="0"/>
    <n v="0"/>
    <n v="0"/>
    <n v="0"/>
    <s v="SPn 200925"/>
    <s v="Läser 15 hp denna termin"/>
    <n v="0"/>
    <n v="0"/>
    <n v="0"/>
    <n v="0"/>
    <n v="0"/>
    <n v="0"/>
    <n v="0"/>
    <n v="0"/>
    <n v="0.25"/>
    <n v="0.25"/>
    <n v="0"/>
    <n v="0"/>
    <n v="0"/>
    <n v="0"/>
    <n v="0"/>
    <n v="0"/>
    <n v="0"/>
    <n v="0"/>
    <n v="0"/>
    <n v="0"/>
    <n v="0"/>
    <n v="0"/>
    <n v="0"/>
  </r>
  <r>
    <x v="32"/>
    <s v="Musik 3, distans"/>
    <m/>
    <s v="LYLÄP"/>
    <s v="H19"/>
    <s v="HT"/>
    <s v="H201-20:V211-20"/>
    <m/>
    <m/>
    <m/>
    <m/>
    <n v="50"/>
    <n v="15"/>
    <n v="1"/>
    <n v="0.25"/>
    <n v="1"/>
    <n v="0.25"/>
    <n v="1650"/>
    <s v="Estetiska ämnen               "/>
    <s v="Hum"/>
    <s v="VAL-projektet"/>
    <n v="31433"/>
    <n v="65018"/>
    <n v="24112.75"/>
    <n v="71400"/>
    <n v="17850"/>
    <n v="41962.75"/>
    <n v="0"/>
    <n v="0"/>
    <n v="0"/>
    <n v="0"/>
    <n v="1"/>
    <n v="0"/>
    <n v="0"/>
    <n v="0"/>
    <n v="0"/>
    <n v="0"/>
    <n v="0"/>
    <n v="0"/>
    <s v="SPn 200925"/>
    <s v="Läser 15 hp denna termin"/>
    <n v="0"/>
    <n v="0"/>
    <n v="0"/>
    <n v="0"/>
    <n v="0"/>
    <n v="0"/>
    <n v="0"/>
    <n v="0"/>
    <n v="0.25"/>
    <n v="0.25"/>
    <n v="0"/>
    <n v="0"/>
    <n v="0"/>
    <n v="0"/>
    <n v="0"/>
    <n v="0"/>
    <n v="0"/>
    <n v="0"/>
    <n v="0"/>
    <n v="0"/>
    <n v="0"/>
    <n v="0"/>
    <n v="0"/>
  </r>
  <r>
    <x v="32"/>
    <s v="Musik 3, distans"/>
    <m/>
    <s v="LYLÄP"/>
    <s v="H20"/>
    <s v="HT"/>
    <s v="H201-20:V211-20"/>
    <m/>
    <m/>
    <m/>
    <m/>
    <n v="50"/>
    <n v="15"/>
    <n v="5"/>
    <n v="1.25"/>
    <n v="1"/>
    <n v="1.25"/>
    <n v="1650"/>
    <s v="Estetiska ämnen               "/>
    <s v="Hum"/>
    <s v="VAL-projektet"/>
    <n v="31433"/>
    <n v="65018"/>
    <n v="120563.75"/>
    <n v="71400"/>
    <n v="89250"/>
    <n v="209813.75"/>
    <n v="0"/>
    <n v="0"/>
    <n v="0"/>
    <n v="0"/>
    <n v="1"/>
    <n v="0"/>
    <n v="0"/>
    <n v="0"/>
    <n v="0"/>
    <n v="0"/>
    <n v="0"/>
    <n v="0"/>
    <s v="SPn 200925"/>
    <s v="Läser 15 hp denna termin"/>
    <n v="0"/>
    <n v="0"/>
    <n v="0"/>
    <n v="0"/>
    <n v="0"/>
    <n v="0"/>
    <n v="0"/>
    <n v="0"/>
    <n v="1.25"/>
    <n v="1.25"/>
    <n v="0"/>
    <n v="0"/>
    <n v="0"/>
    <n v="0"/>
    <n v="0"/>
    <n v="0"/>
    <n v="0"/>
    <n v="0"/>
    <n v="0"/>
    <n v="0"/>
    <n v="0"/>
    <n v="0"/>
    <n v="0"/>
  </r>
  <r>
    <x v="32"/>
    <s v="Musik 3, distans"/>
    <m/>
    <s v="LYLÄP"/>
    <s v="V18"/>
    <s v="HT"/>
    <s v="H201-20:V211-20"/>
    <m/>
    <m/>
    <m/>
    <m/>
    <n v="50"/>
    <n v="15"/>
    <n v="1"/>
    <n v="0.25"/>
    <n v="1"/>
    <n v="0.25"/>
    <n v="1650"/>
    <s v="Estetiska ämnen               "/>
    <s v="Hum"/>
    <s v="VAL-projektet"/>
    <n v="31433"/>
    <n v="65018"/>
    <n v="24112.75"/>
    <n v="71400"/>
    <n v="17850"/>
    <n v="41962.75"/>
    <n v="0"/>
    <n v="0"/>
    <n v="0"/>
    <n v="0"/>
    <n v="1"/>
    <n v="0"/>
    <n v="0"/>
    <n v="0"/>
    <n v="0"/>
    <n v="0"/>
    <n v="0"/>
    <n v="0"/>
    <s v="SPn 200925"/>
    <s v="Läser 15 hp denna termin"/>
    <n v="0"/>
    <n v="0"/>
    <n v="0"/>
    <n v="0"/>
    <n v="0"/>
    <n v="0"/>
    <n v="0"/>
    <n v="0"/>
    <n v="0.25"/>
    <n v="0.25"/>
    <n v="0"/>
    <n v="0"/>
    <n v="0"/>
    <n v="0"/>
    <n v="0"/>
    <n v="0"/>
    <n v="0"/>
    <n v="0"/>
    <n v="0"/>
    <n v="0"/>
    <n v="0"/>
    <n v="0"/>
    <n v="0"/>
  </r>
  <r>
    <x v="65"/>
    <s v="Grupprocesser och samverkan ur ett fritidshemsperspektiv"/>
    <m/>
    <s v="LYLÄP"/>
    <s v="H20"/>
    <s v="HT"/>
    <s v="H201-5"/>
    <m/>
    <m/>
    <m/>
    <m/>
    <n v="100"/>
    <n v="7.5"/>
    <n v="1"/>
    <n v="0.125"/>
    <n v="1"/>
    <n v="0.125"/>
    <n v="2193"/>
    <s v="TUV "/>
    <s v="Sam"/>
    <s v="VAL-projektet"/>
    <n v="19097"/>
    <n v="16075"/>
    <n v="4396.5"/>
    <n v="5900"/>
    <n v="737.5"/>
    <n v="5134"/>
    <n v="0"/>
    <n v="0"/>
    <n v="0"/>
    <n v="0"/>
    <n v="0"/>
    <n v="0"/>
    <n v="1"/>
    <n v="0"/>
    <n v="0"/>
    <n v="0"/>
    <n v="0"/>
    <n v="0"/>
    <s v="SPn 200925"/>
    <m/>
    <n v="0"/>
    <n v="0"/>
    <n v="0"/>
    <n v="0"/>
    <n v="0"/>
    <n v="0"/>
    <n v="0"/>
    <n v="0"/>
    <n v="0"/>
    <n v="0"/>
    <n v="0"/>
    <n v="0"/>
    <n v="0.125"/>
    <n v="0.125"/>
    <n v="0"/>
    <n v="0"/>
    <n v="0"/>
    <n v="0"/>
    <n v="0"/>
    <n v="0"/>
    <n v="0"/>
    <n v="0"/>
    <n v="0"/>
  </r>
  <r>
    <x v="33"/>
    <s v="Utbildningens villkor och samhälleliga funktion - grundnivå (VAL, ULV)"/>
    <m/>
    <s v="LYLÄP"/>
    <s v="H18"/>
    <s v="HT"/>
    <s v="H201-10"/>
    <m/>
    <m/>
    <m/>
    <m/>
    <n v="50"/>
    <n v="7.5"/>
    <n v="2"/>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3"/>
    <s v="Utbildningens villkor och samhälleliga funktion - grundnivå (VAL, ULV)"/>
    <m/>
    <s v="LYLÄP"/>
    <s v="H19"/>
    <s v="HT"/>
    <s v="H201-10"/>
    <m/>
    <m/>
    <m/>
    <m/>
    <n v="50"/>
    <n v="7.5"/>
    <n v="3"/>
    <n v="0.375"/>
    <n v="1"/>
    <n v="0.375"/>
    <n v="2193"/>
    <s v="TUV "/>
    <s v="Sam"/>
    <s v="VAL-projektet"/>
    <n v="24104"/>
    <n v="31432"/>
    <n v="20826"/>
    <n v="5900"/>
    <n v="2212.5"/>
    <n v="23038.5"/>
    <n v="0"/>
    <n v="0"/>
    <n v="0"/>
    <n v="1"/>
    <n v="0"/>
    <n v="0"/>
    <n v="0"/>
    <n v="0"/>
    <n v="0"/>
    <n v="0"/>
    <n v="0"/>
    <n v="0"/>
    <s v="SPn 200925"/>
    <m/>
    <n v="0"/>
    <n v="0"/>
    <n v="0"/>
    <n v="0"/>
    <n v="0"/>
    <n v="0"/>
    <n v="0.375"/>
    <n v="0.375"/>
    <n v="0"/>
    <n v="0"/>
    <n v="0"/>
    <n v="0"/>
    <n v="0"/>
    <n v="0"/>
    <n v="0"/>
    <n v="0"/>
    <n v="0"/>
    <n v="0"/>
    <n v="0"/>
    <n v="0"/>
    <n v="0"/>
    <n v="0"/>
    <n v="0"/>
  </r>
  <r>
    <x v="33"/>
    <s v="Utbildningens villkor och samhälleliga funktion - grundnivå (VAL, ULV)"/>
    <m/>
    <s v="LYLÄP"/>
    <s v="H20"/>
    <s v="HT"/>
    <s v="H201-10"/>
    <m/>
    <m/>
    <m/>
    <m/>
    <n v="50"/>
    <n v="7.5"/>
    <n v="19"/>
    <n v="2.375"/>
    <n v="1"/>
    <n v="2.375"/>
    <n v="2193"/>
    <s v="TUV "/>
    <s v="Sam"/>
    <s v="VAL-projektet"/>
    <n v="24104"/>
    <n v="31432"/>
    <n v="131898"/>
    <n v="5900"/>
    <n v="14012.5"/>
    <n v="145910.5"/>
    <n v="0"/>
    <n v="0"/>
    <n v="0"/>
    <n v="1"/>
    <n v="0"/>
    <n v="0"/>
    <n v="0"/>
    <n v="0"/>
    <n v="0"/>
    <n v="0"/>
    <n v="0"/>
    <n v="0"/>
    <s v="SPn 200925"/>
    <m/>
    <n v="0"/>
    <n v="0"/>
    <n v="0"/>
    <n v="0"/>
    <n v="0"/>
    <n v="0"/>
    <n v="2.375"/>
    <n v="2.375"/>
    <n v="0"/>
    <n v="0"/>
    <n v="0"/>
    <n v="0"/>
    <n v="0"/>
    <n v="0"/>
    <n v="0"/>
    <n v="0"/>
    <n v="0"/>
    <n v="0"/>
    <n v="0"/>
    <n v="0"/>
    <n v="0"/>
    <n v="0"/>
    <n v="0"/>
  </r>
  <r>
    <x v="33"/>
    <s v="Utbildningens villkor och samhälleliga funktion - grundnivå (VAL, ULV)"/>
    <m/>
    <s v="LYLÄP"/>
    <s v="V20"/>
    <s v="HT"/>
    <s v="H201-10"/>
    <m/>
    <m/>
    <m/>
    <m/>
    <n v="50"/>
    <n v="7.5"/>
    <n v="1"/>
    <n v="0.125"/>
    <n v="1"/>
    <n v="0.125"/>
    <n v="2193"/>
    <s v="TUV "/>
    <s v="Sam"/>
    <s v="VAL-projektet"/>
    <n v="24104"/>
    <n v="31432"/>
    <n v="6942"/>
    <n v="5900"/>
    <n v="737.5"/>
    <n v="7679.5"/>
    <n v="0"/>
    <n v="0"/>
    <n v="0"/>
    <n v="1"/>
    <n v="0"/>
    <n v="0"/>
    <n v="0"/>
    <n v="0"/>
    <n v="0"/>
    <n v="0"/>
    <n v="0"/>
    <n v="0"/>
    <s v="SPn 200925"/>
    <m/>
    <n v="0"/>
    <n v="0"/>
    <n v="0"/>
    <n v="0"/>
    <n v="0"/>
    <n v="0"/>
    <n v="0.125"/>
    <n v="0.125"/>
    <n v="0"/>
    <n v="0"/>
    <n v="0"/>
    <n v="0"/>
    <n v="0"/>
    <n v="0"/>
    <n v="0"/>
    <n v="0"/>
    <n v="0"/>
    <n v="0"/>
    <n v="0"/>
    <n v="0"/>
    <n v="0"/>
    <n v="0"/>
    <n v="0"/>
  </r>
  <r>
    <x v="34"/>
    <s v="Specialpedagogik, sociala relationer och kommunikation - grundnivå (VAL, ULV)"/>
    <m/>
    <s v="LYLÄP"/>
    <s v="H18"/>
    <s v="HT"/>
    <s v="H201-10"/>
    <m/>
    <m/>
    <m/>
    <m/>
    <n v="50"/>
    <n v="7.5"/>
    <n v="1"/>
    <n v="0.125"/>
    <n v="1"/>
    <n v="0.125"/>
    <n v="2193"/>
    <s v="TUV "/>
    <s v="Sam"/>
    <s v="VAL-projektet"/>
    <n v="24104"/>
    <n v="31432"/>
    <n v="6942"/>
    <n v="5900"/>
    <n v="737.5"/>
    <n v="7679.5"/>
    <n v="0"/>
    <n v="0"/>
    <n v="0"/>
    <n v="1"/>
    <n v="0"/>
    <n v="0"/>
    <n v="0"/>
    <n v="0"/>
    <n v="0"/>
    <n v="0"/>
    <n v="0"/>
    <n v="0"/>
    <s v="SPn 200925"/>
    <m/>
    <n v="0"/>
    <n v="0"/>
    <n v="0"/>
    <n v="0"/>
    <n v="0"/>
    <n v="0"/>
    <n v="0.125"/>
    <n v="0.125"/>
    <n v="0"/>
    <n v="0"/>
    <n v="0"/>
    <n v="0"/>
    <n v="0"/>
    <n v="0"/>
    <n v="0"/>
    <n v="0"/>
    <n v="0"/>
    <n v="0"/>
    <n v="0"/>
    <n v="0"/>
    <n v="0"/>
    <n v="0"/>
    <n v="0"/>
  </r>
  <r>
    <x v="34"/>
    <s v="Specialpedagogik, sociala relationer och kommunikation - grundnivå (VAL, ULV)"/>
    <m/>
    <s v="LYLÄP"/>
    <s v="H19"/>
    <s v="HT"/>
    <s v="H201-10"/>
    <m/>
    <m/>
    <m/>
    <m/>
    <n v="50"/>
    <n v="7.5"/>
    <n v="1"/>
    <n v="0.125"/>
    <n v="1"/>
    <n v="0.125"/>
    <n v="2193"/>
    <s v="TUV "/>
    <s v="Sam"/>
    <s v="VAL-projektet"/>
    <n v="24104"/>
    <n v="31432"/>
    <n v="6942"/>
    <n v="5900"/>
    <n v="737.5"/>
    <n v="7679.5"/>
    <n v="0"/>
    <n v="0"/>
    <n v="0"/>
    <n v="1"/>
    <n v="0"/>
    <n v="0"/>
    <n v="0"/>
    <n v="0"/>
    <n v="0"/>
    <n v="0"/>
    <n v="0"/>
    <n v="0"/>
    <s v="SPn 200925"/>
    <m/>
    <n v="0"/>
    <n v="0"/>
    <n v="0"/>
    <n v="0"/>
    <n v="0"/>
    <n v="0"/>
    <n v="0.125"/>
    <n v="0.125"/>
    <n v="0"/>
    <n v="0"/>
    <n v="0"/>
    <n v="0"/>
    <n v="0"/>
    <n v="0"/>
    <n v="0"/>
    <n v="0"/>
    <n v="0"/>
    <n v="0"/>
    <n v="0"/>
    <n v="0"/>
    <n v="0"/>
    <n v="0"/>
    <n v="0"/>
  </r>
  <r>
    <x v="34"/>
    <s v="Specialpedagogik, sociala relationer och kommunikation - grundnivå (VAL, ULV)"/>
    <m/>
    <s v="LYLÄP"/>
    <s v="H20"/>
    <s v="HT"/>
    <s v="H201-10"/>
    <m/>
    <m/>
    <m/>
    <m/>
    <n v="50"/>
    <n v="7.5"/>
    <n v="15"/>
    <n v="1.875"/>
    <n v="1"/>
    <n v="1.875"/>
    <n v="2193"/>
    <s v="TUV "/>
    <s v="Sam"/>
    <s v="VAL-projektet"/>
    <n v="24104"/>
    <n v="31432"/>
    <n v="104130"/>
    <n v="5900"/>
    <n v="11062.5"/>
    <n v="115192.5"/>
    <n v="0"/>
    <n v="0"/>
    <n v="0"/>
    <n v="1"/>
    <n v="0"/>
    <n v="0"/>
    <n v="0"/>
    <n v="0"/>
    <n v="0"/>
    <n v="0"/>
    <n v="0"/>
    <n v="0"/>
    <s v="SPn 200925"/>
    <m/>
    <n v="0"/>
    <n v="0"/>
    <n v="0"/>
    <n v="0"/>
    <n v="0"/>
    <n v="0"/>
    <n v="1.875"/>
    <n v="1.875"/>
    <n v="0"/>
    <n v="0"/>
    <n v="0"/>
    <n v="0"/>
    <n v="0"/>
    <n v="0"/>
    <n v="0"/>
    <n v="0"/>
    <n v="0"/>
    <n v="0"/>
    <n v="0"/>
    <n v="0"/>
    <n v="0"/>
    <n v="0"/>
    <n v="0"/>
  </r>
  <r>
    <x v="34"/>
    <s v="Specialpedagogik, sociala relationer och kommunikation - grundnivå (VAL, ULV)"/>
    <m/>
    <s v="LYLÄP"/>
    <s v="V18"/>
    <s v="HT"/>
    <s v="H201-10"/>
    <m/>
    <m/>
    <m/>
    <m/>
    <n v="50"/>
    <n v="7.5"/>
    <n v="4"/>
    <n v="0.5"/>
    <n v="1"/>
    <n v="0.5"/>
    <n v="2193"/>
    <s v="TUV "/>
    <s v="Sam"/>
    <s v="VAL-projektet"/>
    <n v="24104"/>
    <n v="31432"/>
    <n v="27768"/>
    <n v="5900"/>
    <n v="2950"/>
    <n v="30718"/>
    <n v="0"/>
    <n v="0"/>
    <n v="0"/>
    <n v="1"/>
    <n v="0"/>
    <n v="0"/>
    <n v="0"/>
    <n v="0"/>
    <n v="0"/>
    <n v="0"/>
    <n v="0"/>
    <n v="0"/>
    <s v="SPn 200925"/>
    <m/>
    <n v="0"/>
    <n v="0"/>
    <n v="0"/>
    <n v="0"/>
    <n v="0"/>
    <n v="0"/>
    <n v="0.5"/>
    <n v="0.5"/>
    <n v="0"/>
    <n v="0"/>
    <n v="0"/>
    <n v="0"/>
    <n v="0"/>
    <n v="0"/>
    <n v="0"/>
    <n v="0"/>
    <n v="0"/>
    <n v="0"/>
    <n v="0"/>
    <n v="0"/>
    <n v="0"/>
    <n v="0"/>
    <n v="0"/>
  </r>
  <r>
    <x v="34"/>
    <s v="Specialpedagogik, sociala relationer och kommunikation - grundnivå (VAL, ULV)"/>
    <m/>
    <s v="LYLÄP"/>
    <s v="V19"/>
    <s v="HT"/>
    <s v="H201-10"/>
    <m/>
    <m/>
    <m/>
    <m/>
    <n v="50"/>
    <n v="7.5"/>
    <n v="2"/>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4"/>
    <s v="Specialpedagogik, sociala relationer och kommunikation - grundnivå (VAL, ULV)"/>
    <m/>
    <s v="LYLÄP"/>
    <s v="V20"/>
    <s v="HT"/>
    <s v="H201-10"/>
    <m/>
    <m/>
    <m/>
    <m/>
    <n v="50"/>
    <n v="7.5"/>
    <n v="4"/>
    <n v="0.5"/>
    <n v="1"/>
    <n v="0.5"/>
    <n v="2193"/>
    <s v="TUV "/>
    <s v="Sam"/>
    <s v="VAL-projektet"/>
    <n v="24104"/>
    <n v="31432"/>
    <n v="27768"/>
    <n v="5900"/>
    <n v="2950"/>
    <n v="30718"/>
    <n v="0"/>
    <n v="0"/>
    <n v="0"/>
    <n v="1"/>
    <n v="0"/>
    <n v="0"/>
    <n v="0"/>
    <n v="0"/>
    <n v="0"/>
    <n v="0"/>
    <n v="0"/>
    <n v="0"/>
    <s v="SPn 200925"/>
    <m/>
    <n v="0"/>
    <n v="0"/>
    <n v="0"/>
    <n v="0"/>
    <n v="0"/>
    <n v="0"/>
    <n v="0.5"/>
    <n v="0.5"/>
    <n v="0"/>
    <n v="0"/>
    <n v="0"/>
    <n v="0"/>
    <n v="0"/>
    <n v="0"/>
    <n v="0"/>
    <n v="0"/>
    <n v="0"/>
    <n v="0"/>
    <n v="0"/>
    <n v="0"/>
    <n v="0"/>
    <n v="0"/>
    <n v="0"/>
  </r>
  <r>
    <x v="35"/>
    <s v="Uppdrag, ledarskap och undervisning - grundnivå (VAL, ULV)"/>
    <m/>
    <s v="LYLÄP"/>
    <s v="H18"/>
    <s v="HT"/>
    <s v="H2011-20"/>
    <m/>
    <m/>
    <m/>
    <m/>
    <n v="50"/>
    <n v="7.5"/>
    <n v="2"/>
    <n v="0.25"/>
    <n v="1"/>
    <n v="0.25"/>
    <n v="2180"/>
    <s v="Pedagogik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5"/>
    <s v="Uppdrag, ledarskap och undervisning - grundnivå (VAL, ULV)"/>
    <m/>
    <s v="LYLÄP"/>
    <s v="H19"/>
    <s v="HT"/>
    <s v="H2011-20"/>
    <m/>
    <m/>
    <m/>
    <m/>
    <n v="50"/>
    <n v="7.5"/>
    <n v="3"/>
    <n v="0.375"/>
    <n v="1"/>
    <n v="0.375"/>
    <n v="2180"/>
    <s v="Pedagogik                     "/>
    <s v="Sam"/>
    <s v="VAL-projektet"/>
    <n v="24104"/>
    <n v="31432"/>
    <n v="20826"/>
    <n v="5900"/>
    <n v="2212.5"/>
    <n v="23038.5"/>
    <n v="0"/>
    <n v="0"/>
    <n v="0"/>
    <n v="1"/>
    <n v="0"/>
    <n v="0"/>
    <n v="0"/>
    <n v="0"/>
    <n v="0"/>
    <n v="0"/>
    <n v="0"/>
    <n v="0"/>
    <s v="SPn 200925"/>
    <m/>
    <n v="0"/>
    <n v="0"/>
    <n v="0"/>
    <n v="0"/>
    <n v="0"/>
    <n v="0"/>
    <n v="0.375"/>
    <n v="0.375"/>
    <n v="0"/>
    <n v="0"/>
    <n v="0"/>
    <n v="0"/>
    <n v="0"/>
    <n v="0"/>
    <n v="0"/>
    <n v="0"/>
    <n v="0"/>
    <n v="0"/>
    <n v="0"/>
    <n v="0"/>
    <n v="0"/>
    <n v="0"/>
    <n v="0"/>
  </r>
  <r>
    <x v="35"/>
    <s v="Uppdrag, ledarskap och undervisning - grundnivå (VAL, ULV)"/>
    <m/>
    <s v="LYLÄP"/>
    <s v="H20"/>
    <s v="HT"/>
    <s v="H2011-20"/>
    <m/>
    <m/>
    <m/>
    <m/>
    <n v="50"/>
    <n v="7.5"/>
    <n v="20"/>
    <n v="2.5"/>
    <n v="1"/>
    <n v="2.5"/>
    <n v="2180"/>
    <s v="Pedagogik                     "/>
    <s v="Sam"/>
    <s v="VAL-projektet"/>
    <n v="24104"/>
    <n v="31432"/>
    <n v="138840"/>
    <n v="5900"/>
    <n v="14750"/>
    <n v="153590"/>
    <n v="0"/>
    <n v="0"/>
    <n v="0"/>
    <n v="1"/>
    <n v="0"/>
    <n v="0"/>
    <n v="0"/>
    <n v="0"/>
    <n v="0"/>
    <n v="0"/>
    <n v="0"/>
    <n v="0"/>
    <s v="SPn 200925"/>
    <m/>
    <n v="0"/>
    <n v="0"/>
    <n v="0"/>
    <n v="0"/>
    <n v="0"/>
    <n v="0"/>
    <n v="2.5"/>
    <n v="2.5"/>
    <n v="0"/>
    <n v="0"/>
    <n v="0"/>
    <n v="0"/>
    <n v="0"/>
    <n v="0"/>
    <n v="0"/>
    <n v="0"/>
    <n v="0"/>
    <n v="0"/>
    <n v="0"/>
    <n v="0"/>
    <n v="0"/>
    <n v="0"/>
    <n v="0"/>
  </r>
  <r>
    <x v="35"/>
    <s v="Uppdrag, ledarskap och undervisning - grundnivå (VAL, ULV)"/>
    <m/>
    <s v="LYLÄP"/>
    <s v="V20"/>
    <s v="HT"/>
    <s v="H2011-20"/>
    <m/>
    <m/>
    <m/>
    <m/>
    <n v="50"/>
    <n v="7.5"/>
    <n v="2"/>
    <n v="0.25"/>
    <n v="1"/>
    <n v="0.25"/>
    <n v="2180"/>
    <s v="Pedagogik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6"/>
    <s v="Undervisning och lärande - läroplansteori och didaktik - grundnivå (VAL, ULV)"/>
    <m/>
    <s v="LYLÄP"/>
    <s v="H18"/>
    <s v="HT"/>
    <s v="H201-10"/>
    <m/>
    <m/>
    <m/>
    <m/>
    <n v="50"/>
    <n v="7.5"/>
    <n v="2"/>
    <n v="0.25"/>
    <n v="1"/>
    <n v="0.25"/>
    <n v="2180"/>
    <s v="Pedagogik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6"/>
    <s v="Undervisning och lärande - läroplansteori och didaktik - grundnivå (VAL, ULV)"/>
    <m/>
    <s v="LYLÄP"/>
    <s v="H19"/>
    <s v="HT"/>
    <s v="H201-10"/>
    <m/>
    <m/>
    <m/>
    <m/>
    <n v="50"/>
    <n v="7.5"/>
    <n v="6"/>
    <n v="0.75"/>
    <n v="1"/>
    <n v="0.75"/>
    <n v="2180"/>
    <s v="Pedagogik                     "/>
    <s v="Sam"/>
    <s v="VAL-projektet"/>
    <n v="24104"/>
    <n v="31432"/>
    <n v="41652"/>
    <n v="5900"/>
    <n v="4425"/>
    <n v="46077"/>
    <n v="0"/>
    <n v="0"/>
    <n v="0"/>
    <n v="1"/>
    <n v="0"/>
    <n v="0"/>
    <n v="0"/>
    <n v="0"/>
    <n v="0"/>
    <n v="0"/>
    <n v="0"/>
    <n v="0"/>
    <s v="SPn 200925"/>
    <m/>
    <n v="0"/>
    <n v="0"/>
    <n v="0"/>
    <n v="0"/>
    <n v="0"/>
    <n v="0"/>
    <n v="0.75"/>
    <n v="0.75"/>
    <n v="0"/>
    <n v="0"/>
    <n v="0"/>
    <n v="0"/>
    <n v="0"/>
    <n v="0"/>
    <n v="0"/>
    <n v="0"/>
    <n v="0"/>
    <n v="0"/>
    <n v="0"/>
    <n v="0"/>
    <n v="0"/>
    <n v="0"/>
    <n v="0"/>
  </r>
  <r>
    <x v="36"/>
    <s v="Undervisning och lärande - läroplansteori och didaktik - grundnivå (VAL, ULV)"/>
    <m/>
    <s v="LYLÄP"/>
    <s v="H20"/>
    <s v="HT"/>
    <s v="H201-10"/>
    <m/>
    <m/>
    <m/>
    <m/>
    <n v="50"/>
    <n v="7.5"/>
    <n v="21"/>
    <n v="2.625"/>
    <n v="1"/>
    <n v="2.625"/>
    <n v="2180"/>
    <s v="Pedagogik                     "/>
    <s v="Sam"/>
    <s v="VAL-projektet"/>
    <n v="24104"/>
    <n v="31432"/>
    <n v="145782"/>
    <n v="5900"/>
    <n v="15487.5"/>
    <n v="161269.5"/>
    <n v="0"/>
    <n v="0"/>
    <n v="0"/>
    <n v="1"/>
    <n v="0"/>
    <n v="0"/>
    <n v="0"/>
    <n v="0"/>
    <n v="0"/>
    <n v="0"/>
    <n v="0"/>
    <n v="0"/>
    <s v="SPn 200925"/>
    <m/>
    <n v="0"/>
    <n v="0"/>
    <n v="0"/>
    <n v="0"/>
    <n v="0"/>
    <n v="0"/>
    <n v="2.625"/>
    <n v="2.625"/>
    <n v="0"/>
    <n v="0"/>
    <n v="0"/>
    <n v="0"/>
    <n v="0"/>
    <n v="0"/>
    <n v="0"/>
    <n v="0"/>
    <n v="0"/>
    <n v="0"/>
    <n v="0"/>
    <n v="0"/>
    <n v="0"/>
    <n v="0"/>
    <n v="0"/>
  </r>
  <r>
    <x v="36"/>
    <s v="Undervisning och lärande - läroplansteori och didaktik - grundnivå (VAL, ULV)"/>
    <m/>
    <s v="LYLÄP"/>
    <s v="V18"/>
    <s v="HT"/>
    <s v="H201-10"/>
    <m/>
    <m/>
    <m/>
    <m/>
    <n v="50"/>
    <n v="7.5"/>
    <n v="2"/>
    <n v="0.25"/>
    <n v="1"/>
    <n v="0.25"/>
    <n v="2180"/>
    <s v="Pedagogik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6"/>
    <s v="Undervisning och lärande - läroplansteori och didaktik - grundnivå (VAL, ULV)"/>
    <m/>
    <s v="LYLÄP"/>
    <s v="V19"/>
    <s v="HT"/>
    <s v="H201-10"/>
    <m/>
    <m/>
    <m/>
    <m/>
    <n v="50"/>
    <n v="7.5"/>
    <n v="1"/>
    <n v="0.125"/>
    <n v="1"/>
    <n v="0.125"/>
    <n v="2180"/>
    <s v="Pedagogik                     "/>
    <s v="Sam"/>
    <s v="VAL-projektet"/>
    <n v="24104"/>
    <n v="31432"/>
    <n v="6942"/>
    <n v="5900"/>
    <n v="737.5"/>
    <n v="7679.5"/>
    <n v="0"/>
    <n v="0"/>
    <n v="0"/>
    <n v="1"/>
    <n v="0"/>
    <n v="0"/>
    <n v="0"/>
    <n v="0"/>
    <n v="0"/>
    <n v="0"/>
    <n v="0"/>
    <n v="0"/>
    <s v="SPn 200925"/>
    <m/>
    <n v="0"/>
    <n v="0"/>
    <n v="0"/>
    <n v="0"/>
    <n v="0"/>
    <n v="0"/>
    <n v="0.125"/>
    <n v="0.125"/>
    <n v="0"/>
    <n v="0"/>
    <n v="0"/>
    <n v="0"/>
    <n v="0"/>
    <n v="0"/>
    <n v="0"/>
    <n v="0"/>
    <n v="0"/>
    <n v="0"/>
    <n v="0"/>
    <n v="0"/>
    <n v="0"/>
    <n v="0"/>
    <n v="0"/>
  </r>
  <r>
    <x v="36"/>
    <s v="Undervisning och lärande - läroplansteori och didaktik - grundnivå (VAL, ULV)"/>
    <m/>
    <s v="LYLÄP"/>
    <s v="V20"/>
    <s v="HT"/>
    <s v="H201-10"/>
    <m/>
    <m/>
    <m/>
    <m/>
    <n v="50"/>
    <n v="7.5"/>
    <n v="2"/>
    <n v="0.25"/>
    <n v="1"/>
    <n v="0.25"/>
    <n v="2180"/>
    <s v="Pedagogik                     "/>
    <s v="Sam"/>
    <s v="VAL-projektet"/>
    <n v="24104"/>
    <n v="31432"/>
    <n v="13884"/>
    <n v="5900"/>
    <n v="1475"/>
    <n v="15359"/>
    <n v="0"/>
    <n v="0"/>
    <n v="0"/>
    <n v="1"/>
    <n v="0"/>
    <n v="0"/>
    <n v="0"/>
    <n v="0"/>
    <n v="0"/>
    <n v="0"/>
    <n v="0"/>
    <n v="0"/>
    <s v="SPn 200925"/>
    <m/>
    <n v="0"/>
    <n v="0"/>
    <n v="0"/>
    <n v="0"/>
    <n v="0"/>
    <n v="0"/>
    <n v="0.25"/>
    <n v="0.25"/>
    <n v="0"/>
    <n v="0"/>
    <n v="0"/>
    <n v="0"/>
    <n v="0"/>
    <n v="0"/>
    <n v="0"/>
    <n v="0"/>
    <n v="0"/>
    <n v="0"/>
    <n v="0"/>
    <n v="0"/>
    <n v="0"/>
    <n v="0"/>
    <n v="0"/>
  </r>
  <r>
    <x v="66"/>
    <s v="Examensarbete för grundlärarexamen med inriktning mot förskoleklass och grundskolans år 1-3"/>
    <m/>
    <s v="LYLÄP"/>
    <s v="H18"/>
    <s v="HT"/>
    <s v="H2016-20:V211-15"/>
    <m/>
    <m/>
    <m/>
    <m/>
    <n v="100"/>
    <n v="30"/>
    <n v="1"/>
    <n v="0.5"/>
    <n v="1"/>
    <n v="0.5"/>
    <n v="5740"/>
    <s v="NMD"/>
    <s v="TekNat"/>
    <s v="VAL-projektet"/>
    <n v="19863"/>
    <n v="35472"/>
    <n v="27667.5"/>
    <n v="22200"/>
    <n v="11100"/>
    <n v="38767.5"/>
    <n v="0"/>
    <n v="0"/>
    <n v="0"/>
    <n v="0"/>
    <n v="0"/>
    <n v="1"/>
    <n v="0"/>
    <n v="0"/>
    <n v="0"/>
    <n v="0"/>
    <n v="0"/>
    <n v="0"/>
    <s v="SPn 200925"/>
    <m/>
    <n v="0"/>
    <n v="0"/>
    <n v="0"/>
    <n v="0"/>
    <n v="0"/>
    <n v="0"/>
    <n v="0"/>
    <n v="0"/>
    <n v="0"/>
    <n v="0"/>
    <n v="0.5"/>
    <n v="0.5"/>
    <n v="0"/>
    <n v="0"/>
    <n v="0"/>
    <n v="0"/>
    <n v="0"/>
    <n v="0"/>
    <n v="0"/>
    <n v="0"/>
    <n v="0"/>
    <n v="0"/>
    <n v="0"/>
  </r>
  <r>
    <x v="66"/>
    <s v="Examensarbete för grundlärarexamen med inriktning mot förskoleklass och grundskolans år 1-3"/>
    <m/>
    <s v="LYLÄP"/>
    <s v="H20"/>
    <s v="HT"/>
    <s v="H2016-20:V211-15"/>
    <m/>
    <m/>
    <m/>
    <m/>
    <n v="100"/>
    <n v="30"/>
    <n v="2"/>
    <n v="1"/>
    <n v="1"/>
    <n v="1"/>
    <n v="5740"/>
    <s v="NMD"/>
    <s v="TekNat"/>
    <s v="VAL-projektet"/>
    <n v="19863"/>
    <n v="35472"/>
    <n v="55335"/>
    <n v="22200"/>
    <n v="22200"/>
    <n v="77535"/>
    <n v="0"/>
    <n v="0"/>
    <n v="0"/>
    <n v="0"/>
    <n v="0"/>
    <n v="1"/>
    <n v="0"/>
    <n v="0"/>
    <n v="0"/>
    <n v="0"/>
    <n v="0"/>
    <n v="0"/>
    <s v="SPn 200925"/>
    <m/>
    <n v="0"/>
    <n v="0"/>
    <n v="0"/>
    <n v="0"/>
    <n v="0"/>
    <n v="0"/>
    <n v="0"/>
    <n v="0"/>
    <n v="0"/>
    <n v="0"/>
    <n v="1"/>
    <n v="1"/>
    <n v="0"/>
    <n v="0"/>
    <n v="0"/>
    <n v="0"/>
    <n v="0"/>
    <n v="0"/>
    <n v="0"/>
    <n v="0"/>
    <n v="0"/>
    <n v="0"/>
    <n v="0"/>
  </r>
  <r>
    <x v="37"/>
    <s v="Examensarbete med ämnesdidaktisk inriktning (VAL, ULV)"/>
    <m/>
    <s v="LYLÄP"/>
    <s v="H17"/>
    <s v="HT"/>
    <s v="H201-20"/>
    <m/>
    <m/>
    <m/>
    <m/>
    <n v="50"/>
    <n v="15"/>
    <n v="1"/>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7"/>
    <s v="Examensarbete med ämnesdidaktisk inriktning (VAL, ULV)"/>
    <m/>
    <s v="LYLÄP"/>
    <s v="H18"/>
    <s v="HT"/>
    <s v="H201-20"/>
    <m/>
    <m/>
    <m/>
    <m/>
    <n v="50"/>
    <n v="15"/>
    <n v="3"/>
    <n v="0.75"/>
    <n v="1"/>
    <n v="0.75"/>
    <n v="2193"/>
    <s v="TUV "/>
    <s v="Sam"/>
    <s v="VAL-projektet"/>
    <n v="24104"/>
    <n v="31432"/>
    <n v="41652"/>
    <n v="5900"/>
    <n v="4425"/>
    <n v="46077"/>
    <n v="0"/>
    <n v="0"/>
    <n v="0"/>
    <n v="1"/>
    <n v="0"/>
    <n v="0"/>
    <n v="0"/>
    <n v="0"/>
    <n v="0"/>
    <n v="0"/>
    <n v="0"/>
    <n v="0"/>
    <s v="SPn 200925"/>
    <m/>
    <n v="0"/>
    <n v="0"/>
    <n v="0"/>
    <n v="0"/>
    <n v="0"/>
    <n v="0"/>
    <n v="0.75"/>
    <n v="0.75"/>
    <n v="0"/>
    <n v="0"/>
    <n v="0"/>
    <n v="0"/>
    <n v="0"/>
    <n v="0"/>
    <n v="0"/>
    <n v="0"/>
    <n v="0"/>
    <n v="0"/>
    <n v="0"/>
    <n v="0"/>
    <n v="0"/>
    <n v="0"/>
    <n v="0"/>
  </r>
  <r>
    <x v="37"/>
    <s v="Examensarbete med ämnesdidaktisk inriktning (VAL, ULV)"/>
    <m/>
    <s v="LYLÄP"/>
    <s v="H19"/>
    <s v="HT"/>
    <s v="H201-20"/>
    <m/>
    <m/>
    <m/>
    <m/>
    <n v="50"/>
    <n v="15"/>
    <n v="1"/>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7"/>
    <s v="Examensarbete med ämnesdidaktisk inriktning (VAL, ULV)"/>
    <m/>
    <s v="LYLÄP"/>
    <s v="H20"/>
    <s v="HT"/>
    <s v="H201-20"/>
    <m/>
    <m/>
    <m/>
    <m/>
    <n v="50"/>
    <n v="15"/>
    <n v="16"/>
    <n v="4"/>
    <n v="1"/>
    <n v="4"/>
    <n v="2193"/>
    <s v="TUV "/>
    <s v="Sam"/>
    <s v="VAL-projektet"/>
    <n v="24104"/>
    <n v="31432"/>
    <n v="222144"/>
    <n v="5900"/>
    <n v="23600"/>
    <n v="245744"/>
    <n v="0"/>
    <n v="0"/>
    <n v="0"/>
    <n v="1"/>
    <n v="0"/>
    <n v="0"/>
    <n v="0"/>
    <n v="0"/>
    <n v="0"/>
    <n v="0"/>
    <n v="0"/>
    <n v="0"/>
    <s v="SPn 200925"/>
    <m/>
    <n v="0"/>
    <n v="0"/>
    <n v="0"/>
    <n v="0"/>
    <n v="0"/>
    <n v="0"/>
    <n v="4"/>
    <n v="4"/>
    <n v="0"/>
    <n v="0"/>
    <n v="0"/>
    <n v="0"/>
    <n v="0"/>
    <n v="0"/>
    <n v="0"/>
    <n v="0"/>
    <n v="0"/>
    <n v="0"/>
    <n v="0"/>
    <n v="0"/>
    <n v="0"/>
    <n v="0"/>
    <n v="0"/>
  </r>
  <r>
    <x v="37"/>
    <s v="Examensarbete med ämnesdidaktisk inriktning (VAL, ULV)"/>
    <m/>
    <s v="LYLÄP"/>
    <s v="V16"/>
    <s v="HT"/>
    <s v="H201-20"/>
    <m/>
    <m/>
    <m/>
    <m/>
    <n v="50"/>
    <n v="15"/>
    <n v="1"/>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37"/>
    <s v="Examensarbete med ämnesdidaktisk inriktning (VAL, ULV)"/>
    <m/>
    <s v="LYLÄP"/>
    <s v="V19"/>
    <s v="HT"/>
    <s v="H201-20"/>
    <m/>
    <m/>
    <m/>
    <m/>
    <n v="50"/>
    <n v="15"/>
    <n v="1"/>
    <n v="0.25"/>
    <n v="1"/>
    <n v="0.25"/>
    <n v="2193"/>
    <s v="TUV "/>
    <s v="Sam"/>
    <s v="VAL-projektet"/>
    <n v="24104"/>
    <n v="31432"/>
    <n v="13884"/>
    <n v="5900"/>
    <n v="1475"/>
    <n v="15359"/>
    <n v="0"/>
    <n v="0"/>
    <n v="0"/>
    <n v="1"/>
    <n v="0"/>
    <n v="0"/>
    <n v="0"/>
    <n v="0"/>
    <n v="0"/>
    <n v="0"/>
    <n v="0"/>
    <n v="0"/>
    <s v="SPn 200925"/>
    <m/>
    <n v="0"/>
    <n v="0"/>
    <n v="0"/>
    <n v="0"/>
    <n v="0"/>
    <n v="0"/>
    <n v="0.25"/>
    <n v="0.25"/>
    <n v="0"/>
    <n v="0"/>
    <n v="0"/>
    <n v="0"/>
    <n v="0"/>
    <n v="0"/>
    <n v="0"/>
    <n v="0"/>
    <n v="0"/>
    <n v="0"/>
    <n v="0"/>
    <n v="0"/>
    <n v="0"/>
    <n v="0"/>
    <n v="0"/>
  </r>
  <r>
    <x v="67"/>
    <s v="Elever i behov av extra anpassningar och särskilt stöd ur ett fritidshemsperspektiv"/>
    <m/>
    <s v="LYLÄP"/>
    <s v="H20"/>
    <s v="HT"/>
    <s v="H2016-20"/>
    <m/>
    <m/>
    <m/>
    <m/>
    <n v="100"/>
    <n v="7.5"/>
    <n v="1"/>
    <n v="0.125"/>
    <n v="1"/>
    <n v="0.125"/>
    <n v="2193"/>
    <s v="TUV "/>
    <s v="Sam"/>
    <s v="VAL-projektet"/>
    <n v="19097"/>
    <n v="16075"/>
    <n v="4396.5"/>
    <n v="5900"/>
    <n v="737.5"/>
    <n v="5134"/>
    <n v="0"/>
    <n v="0"/>
    <n v="0"/>
    <n v="0"/>
    <n v="0"/>
    <n v="0"/>
    <n v="1"/>
    <n v="0"/>
    <n v="0"/>
    <n v="0"/>
    <n v="0"/>
    <n v="0"/>
    <s v="SPn 200925"/>
    <m/>
    <n v="0"/>
    <n v="0"/>
    <n v="0"/>
    <n v="0"/>
    <n v="0"/>
    <n v="0"/>
    <n v="0"/>
    <n v="0"/>
    <n v="0"/>
    <n v="0"/>
    <n v="0"/>
    <n v="0"/>
    <n v="0.125"/>
    <n v="0.125"/>
    <n v="0"/>
    <n v="0"/>
    <n v="0"/>
    <n v="0"/>
    <n v="0"/>
    <n v="0"/>
    <n v="0"/>
    <n v="0"/>
    <n v="0"/>
  </r>
  <r>
    <x v="68"/>
    <s v="Slöjd, Trä- och metall 2a, distans"/>
    <m/>
    <s v="LYLÄP"/>
    <s v="H20"/>
    <s v="HT"/>
    <s v="H201-20"/>
    <m/>
    <m/>
    <m/>
    <m/>
    <n v="50"/>
    <n v="15"/>
    <n v="2"/>
    <n v="0.5"/>
    <n v="1"/>
    <n v="0.5"/>
    <n v="1650"/>
    <s v="Estetiska ämnen               "/>
    <s v="Hum"/>
    <s v="VAL-projektet"/>
    <n v="19863"/>
    <n v="35472"/>
    <n v="27667.5"/>
    <n v="22200"/>
    <n v="11100"/>
    <n v="38767.5"/>
    <n v="0"/>
    <n v="0"/>
    <n v="0"/>
    <n v="0"/>
    <n v="0"/>
    <n v="0"/>
    <n v="0"/>
    <n v="1"/>
    <n v="0"/>
    <n v="0"/>
    <n v="0"/>
    <n v="0"/>
    <s v="SPn 200925"/>
    <m/>
    <n v="0"/>
    <n v="0"/>
    <n v="0"/>
    <n v="0"/>
    <n v="0"/>
    <n v="0"/>
    <n v="0"/>
    <n v="0"/>
    <n v="0"/>
    <n v="0"/>
    <n v="0"/>
    <n v="0"/>
    <n v="0"/>
    <n v="0"/>
    <n v="0.5"/>
    <n v="0.5"/>
    <n v="0"/>
    <n v="0"/>
    <n v="0"/>
    <n v="0"/>
    <n v="0"/>
    <n v="0"/>
    <n v="0"/>
  </r>
  <r>
    <x v="40"/>
    <s v="Slöjd 1, Trä- och metall"/>
    <m/>
    <s v="LYLÄP"/>
    <s v="H20"/>
    <s v="HT"/>
    <s v="H201-20:V211-20"/>
    <m/>
    <m/>
    <m/>
    <m/>
    <n v="50"/>
    <n v="15"/>
    <n v="1"/>
    <n v="0.25"/>
    <n v="1"/>
    <n v="0.25"/>
    <n v="1650"/>
    <s v="Estetiska ämnen               "/>
    <s v="Hum"/>
    <s v="VAL-projektet"/>
    <n v="19863"/>
    <n v="35472"/>
    <n v="13833.75"/>
    <n v="22200"/>
    <n v="5550"/>
    <n v="19383.75"/>
    <n v="0"/>
    <n v="0"/>
    <n v="0"/>
    <n v="0"/>
    <n v="0"/>
    <n v="0"/>
    <n v="0"/>
    <n v="1"/>
    <n v="0"/>
    <n v="0"/>
    <n v="0"/>
    <n v="0"/>
    <s v="SPn 200925"/>
    <s v="Läser 15 hp denna termin"/>
    <n v="0"/>
    <n v="0"/>
    <n v="0"/>
    <n v="0"/>
    <n v="0"/>
    <n v="0"/>
    <n v="0"/>
    <n v="0"/>
    <n v="0"/>
    <n v="0"/>
    <n v="0"/>
    <n v="0"/>
    <n v="0"/>
    <n v="0"/>
    <n v="0.25"/>
    <n v="0.25"/>
    <n v="0"/>
    <n v="0"/>
    <n v="0"/>
    <n v="0"/>
    <n v="0"/>
    <n v="0"/>
    <n v="0"/>
  </r>
  <r>
    <x v="69"/>
    <s v="Form, färg, estetik och uttryck - Utveckla ditt formspråk i trä"/>
    <m/>
    <s v="LYLÄP"/>
    <s v="H19"/>
    <s v="HT"/>
    <s v="H201-20"/>
    <m/>
    <m/>
    <m/>
    <m/>
    <n v="50"/>
    <n v="15"/>
    <n v="1"/>
    <n v="0.25"/>
    <n v="1"/>
    <n v="0.25"/>
    <n v="1650"/>
    <s v="Estetiska ämnen               "/>
    <s v="Hum"/>
    <s v="VAL-projektet"/>
    <n v="19863"/>
    <n v="35472"/>
    <n v="13833.75"/>
    <n v="22200"/>
    <n v="5550"/>
    <n v="19383.75"/>
    <n v="0"/>
    <n v="0"/>
    <n v="0"/>
    <n v="0"/>
    <n v="0"/>
    <n v="0"/>
    <n v="0"/>
    <n v="1"/>
    <n v="0"/>
    <n v="0"/>
    <n v="0"/>
    <n v="0"/>
    <s v="SPn 200925"/>
    <m/>
    <n v="0"/>
    <n v="0"/>
    <n v="0"/>
    <n v="0"/>
    <n v="0"/>
    <n v="0"/>
    <n v="0"/>
    <n v="0"/>
    <n v="0"/>
    <n v="0"/>
    <n v="0"/>
    <n v="0"/>
    <n v="0"/>
    <n v="0"/>
    <n v="0.25"/>
    <n v="0.25"/>
    <n v="0"/>
    <n v="0"/>
    <n v="0"/>
    <n v="0"/>
    <n v="0"/>
    <n v="0"/>
    <n v="0"/>
  </r>
  <r>
    <x v="69"/>
    <s v="Form, färg, estetik och uttryck - Utveckla ditt formspråk i trä"/>
    <m/>
    <s v="LYLÄP"/>
    <s v="H20"/>
    <s v="HT"/>
    <s v="H201-20"/>
    <m/>
    <m/>
    <m/>
    <m/>
    <n v="50"/>
    <n v="15"/>
    <n v="3"/>
    <n v="0.75"/>
    <n v="1"/>
    <n v="0.75"/>
    <n v="1650"/>
    <s v="Estetiska ämnen               "/>
    <s v="Hum"/>
    <s v="VAL-projektet"/>
    <n v="19863"/>
    <n v="35472"/>
    <n v="41501.25"/>
    <n v="22200"/>
    <n v="16650"/>
    <n v="58151.25"/>
    <n v="0"/>
    <n v="0"/>
    <n v="0"/>
    <n v="0"/>
    <n v="0"/>
    <n v="0"/>
    <n v="0"/>
    <n v="1"/>
    <n v="0"/>
    <n v="0"/>
    <n v="0"/>
    <n v="0"/>
    <s v="SPn 200925"/>
    <m/>
    <n v="0"/>
    <n v="0"/>
    <n v="0"/>
    <n v="0"/>
    <n v="0"/>
    <n v="0"/>
    <n v="0"/>
    <n v="0"/>
    <n v="0"/>
    <n v="0"/>
    <n v="0"/>
    <n v="0"/>
    <n v="0"/>
    <n v="0"/>
    <n v="0.75"/>
    <n v="0.75"/>
    <n v="0"/>
    <n v="0"/>
    <n v="0"/>
    <n v="0"/>
    <n v="0"/>
    <n v="0"/>
    <n v="0"/>
  </r>
  <r>
    <x v="69"/>
    <s v="Form, färg, estetik och uttryck - Utveckla ditt formspråk i trä"/>
    <m/>
    <s v="LYLÄP"/>
    <s v="V20"/>
    <s v="HT"/>
    <s v="H201-20"/>
    <m/>
    <m/>
    <m/>
    <m/>
    <n v="50"/>
    <n v="15"/>
    <n v="2"/>
    <n v="0.5"/>
    <n v="1"/>
    <n v="0.5"/>
    <n v="1650"/>
    <s v="Estetiska ämnen               "/>
    <s v="Hum"/>
    <s v="VAL-projektet"/>
    <n v="19863"/>
    <n v="35472"/>
    <n v="27667.5"/>
    <n v="22200"/>
    <n v="11100"/>
    <n v="38767.5"/>
    <n v="0"/>
    <n v="0"/>
    <n v="0"/>
    <n v="0"/>
    <n v="0"/>
    <n v="0"/>
    <n v="0"/>
    <n v="1"/>
    <n v="0"/>
    <n v="0"/>
    <n v="0"/>
    <n v="0"/>
    <s v="SPn 200925"/>
    <m/>
    <n v="0"/>
    <n v="0"/>
    <n v="0"/>
    <n v="0"/>
    <n v="0"/>
    <n v="0"/>
    <n v="0"/>
    <n v="0"/>
    <n v="0"/>
    <n v="0"/>
    <n v="0"/>
    <n v="0"/>
    <n v="0"/>
    <n v="0"/>
    <n v="0.5"/>
    <n v="0.5"/>
    <n v="0"/>
    <n v="0"/>
    <n v="0"/>
    <n v="0"/>
    <n v="0"/>
    <n v="0"/>
    <n v="0"/>
  </r>
  <r>
    <x v="70"/>
    <s v="Slöjd, textil 2a, distans"/>
    <m/>
    <s v="LYLÄP"/>
    <s v="H20"/>
    <s v="HT"/>
    <s v="H201-20"/>
    <m/>
    <m/>
    <m/>
    <m/>
    <n v="50"/>
    <n v="15"/>
    <n v="3"/>
    <n v="0.75"/>
    <n v="1"/>
    <n v="0.75"/>
    <n v="1650"/>
    <s v="Estetiska ämnen               "/>
    <s v="Hum"/>
    <s v="VAL-projektet"/>
    <n v="19863"/>
    <n v="35472"/>
    <n v="41501.25"/>
    <n v="22200"/>
    <n v="16650"/>
    <n v="58151.25"/>
    <n v="0"/>
    <n v="0"/>
    <n v="0"/>
    <n v="0"/>
    <n v="0"/>
    <n v="0"/>
    <n v="0"/>
    <n v="1"/>
    <n v="0"/>
    <n v="0"/>
    <n v="0"/>
    <n v="0"/>
    <s v="SPn 200925"/>
    <m/>
    <n v="0"/>
    <n v="0"/>
    <n v="0"/>
    <n v="0"/>
    <n v="0"/>
    <n v="0"/>
    <n v="0"/>
    <n v="0"/>
    <n v="0"/>
    <n v="0"/>
    <n v="0"/>
    <n v="0"/>
    <n v="0"/>
    <n v="0"/>
    <n v="0.75"/>
    <n v="0.75"/>
    <n v="0"/>
    <n v="0"/>
    <n v="0"/>
    <n v="0"/>
    <n v="0"/>
    <n v="0"/>
    <n v="0"/>
  </r>
  <r>
    <x v="46"/>
    <s v="Slöjd 1, textil"/>
    <m/>
    <s v="LYLÄP"/>
    <s v="H20"/>
    <s v="HT"/>
    <s v="H201-20:V211-20"/>
    <m/>
    <m/>
    <m/>
    <m/>
    <n v="50"/>
    <n v="15"/>
    <n v="3"/>
    <n v="0.75"/>
    <n v="1"/>
    <n v="0.75"/>
    <n v="1650"/>
    <s v="Estetiska ämnen               "/>
    <s v="Hum"/>
    <s v="VAL-projektet"/>
    <n v="19863"/>
    <n v="35472"/>
    <n v="41501.25"/>
    <n v="22200"/>
    <n v="16650"/>
    <n v="58151.25"/>
    <n v="0"/>
    <n v="0"/>
    <n v="0"/>
    <n v="0"/>
    <n v="0"/>
    <n v="0"/>
    <n v="0"/>
    <n v="1"/>
    <n v="0"/>
    <n v="0"/>
    <n v="0"/>
    <n v="0"/>
    <s v="SPn 200925"/>
    <s v="Läser 15 hp denna termin"/>
    <n v="0"/>
    <n v="0"/>
    <n v="0"/>
    <n v="0"/>
    <n v="0"/>
    <n v="0"/>
    <n v="0"/>
    <n v="0"/>
    <n v="0"/>
    <n v="0"/>
    <n v="0"/>
    <n v="0"/>
    <n v="0"/>
    <n v="0"/>
    <n v="0.75"/>
    <n v="0.75"/>
    <n v="0"/>
    <n v="0"/>
    <n v="0"/>
    <n v="0"/>
    <n v="0"/>
    <n v="0"/>
    <n v="0"/>
  </r>
  <r>
    <x v="71"/>
    <s v="Kläddesign"/>
    <m/>
    <s v="LYLÄP"/>
    <s v="H20"/>
    <s v="HT"/>
    <s v="H201-20"/>
    <m/>
    <m/>
    <m/>
    <m/>
    <n v="50"/>
    <n v="15"/>
    <n v="1"/>
    <n v="0.25"/>
    <n v="1"/>
    <n v="0.25"/>
    <n v="1650"/>
    <s v="Estetiska ämnen               "/>
    <s v="Hum"/>
    <s v="VAL-projektet"/>
    <n v="19863"/>
    <n v="35472"/>
    <n v="13833.75"/>
    <n v="22200"/>
    <n v="5550"/>
    <n v="19383.75"/>
    <n v="0"/>
    <n v="0"/>
    <n v="0"/>
    <n v="0"/>
    <n v="0"/>
    <n v="0"/>
    <n v="0"/>
    <n v="1"/>
    <n v="0"/>
    <n v="0"/>
    <n v="0"/>
    <n v="0"/>
    <s v="SPn 200925"/>
    <m/>
    <n v="0"/>
    <n v="0"/>
    <n v="0"/>
    <n v="0"/>
    <n v="0"/>
    <n v="0"/>
    <n v="0"/>
    <n v="0"/>
    <n v="0"/>
    <n v="0"/>
    <n v="0"/>
    <n v="0"/>
    <n v="0"/>
    <n v="0"/>
    <n v="0.25"/>
    <n v="0.25"/>
    <n v="0"/>
    <n v="0"/>
    <n v="0"/>
    <n v="0"/>
    <n v="0"/>
    <n v="0"/>
    <n v="0"/>
  </r>
</pivotCacheRecords>
</file>

<file path=xl/pivotCache/pivotCacheRecords2.xml><?xml version="1.0" encoding="utf-8"?>
<pivotCacheRecords xmlns="http://schemas.openxmlformats.org/spreadsheetml/2006/main" xmlns:r="http://schemas.openxmlformats.org/officeDocument/2006/relationships" count="137">
  <r>
    <s v="1EN051"/>
    <s v="Engelska A2, nätkurs"/>
    <m/>
    <s v="LYLÄP"/>
    <m/>
    <s v="VT"/>
    <m/>
    <m/>
    <m/>
    <m/>
    <m/>
    <n v="50"/>
    <n v="15"/>
    <n v="2"/>
    <n v="0.500000004"/>
    <n v="1"/>
    <n v="0.500000004"/>
    <x v="0"/>
    <s v="Inst för språkstudier"/>
    <s v="Hum"/>
    <s v="VAL-projektet"/>
    <n v="19097"/>
    <n v="16075"/>
    <n v="17586.000140688"/>
    <n v="5900"/>
    <n v="2950.0000236000001"/>
    <n v="20536.000164288002"/>
    <n v="0"/>
    <n v="1"/>
    <n v="0"/>
    <n v="0"/>
    <n v="0"/>
    <n v="0"/>
    <n v="0"/>
    <n v="0"/>
    <n v="0"/>
    <n v="0"/>
    <n v="0"/>
    <n v="0"/>
  </r>
  <r>
    <s v="1EN053"/>
    <s v="Engelska B2, nätkurs"/>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1NS068"/>
    <s v="Svenska/Nordiska språk B: Svenska språkets historia"/>
    <m/>
    <s v="LYLÄP"/>
    <m/>
    <s v="VT"/>
    <m/>
    <m/>
    <m/>
    <m/>
    <m/>
    <n v="50"/>
    <n v="7.5"/>
    <n v="1"/>
    <n v="0.125000001"/>
    <n v="1"/>
    <n v="0.125000001"/>
    <x v="0"/>
    <s v="Inst för språkstudier"/>
    <s v="Hum"/>
    <s v="VAL-projektet"/>
    <n v="19097"/>
    <n v="16075"/>
    <n v="4396.500035172"/>
    <n v="5900"/>
    <n v="737.50000590000002"/>
    <n v="5134.0000410720004"/>
    <n v="0"/>
    <n v="1"/>
    <n v="0"/>
    <n v="0"/>
    <n v="0"/>
    <n v="0"/>
    <n v="0"/>
    <n v="0"/>
    <n v="0"/>
    <n v="0"/>
    <n v="0"/>
    <n v="0"/>
  </r>
  <r>
    <s v="1NS071"/>
    <s v="Svenska/Nordiska språk B: Att forska om språk"/>
    <m/>
    <s v="LYLÄP"/>
    <m/>
    <s v="VT"/>
    <m/>
    <m/>
    <m/>
    <m/>
    <m/>
    <n v="50"/>
    <n v="7.5"/>
    <n v="2"/>
    <n v="0.24999999639999998"/>
    <n v="1"/>
    <n v="0.24999999639999998"/>
    <x v="0"/>
    <s v="Inst för språkstudier"/>
    <s v="Hum"/>
    <s v="VAL-projektet"/>
    <n v="19097"/>
    <n v="16075"/>
    <n v="8792.9998733807988"/>
    <n v="5900"/>
    <n v="1474.99997876"/>
    <n v="10267.999852140798"/>
    <n v="0"/>
    <n v="1"/>
    <n v="0"/>
    <n v="0"/>
    <n v="0"/>
    <n v="0"/>
    <n v="0"/>
    <n v="0"/>
    <n v="0"/>
    <n v="0"/>
    <n v="0"/>
    <n v="0"/>
  </r>
  <r>
    <s v="1RY023"/>
    <s v="Ryska A, Fonetik och muntlig språkfärdighet"/>
    <m/>
    <s v="LYLÄP"/>
    <m/>
    <s v="VT"/>
    <m/>
    <m/>
    <m/>
    <m/>
    <m/>
    <n v="25"/>
    <n v="7.5"/>
    <n v="1"/>
    <n v="0.124999994"/>
    <n v="1"/>
    <n v="0.124999994"/>
    <x v="0"/>
    <s v="Inst för språkstudier"/>
    <s v="Hum"/>
    <s v="VAL-projektet"/>
    <n v="19097"/>
    <n v="16075"/>
    <n v="4396.4997889679998"/>
    <n v="5900"/>
    <n v="737.4999646"/>
    <n v="5133.9997535679995"/>
    <n v="0"/>
    <n v="1"/>
    <n v="0"/>
    <n v="0"/>
    <n v="0"/>
    <n v="0"/>
    <n v="0"/>
    <n v="0"/>
    <n v="0"/>
    <n v="0"/>
    <n v="0"/>
    <n v="0"/>
  </r>
  <r>
    <s v="1RY029"/>
    <s v="Ryska B, Grammatik, skriftlig kommunikation och realia"/>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1SP021"/>
    <s v="Spanska C, Lingvistik, litteratur och språkfärdighet"/>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1SP022"/>
    <s v="Spanska, Examensarbete för kandidatexamen"/>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1SP030"/>
    <s v="Spanska B (nätkurs)"/>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6BI100"/>
    <s v="Biologididaktik för ämneslärare för åk 7-9"/>
    <m/>
    <s v="LYLÄP"/>
    <m/>
    <s v="VT"/>
    <m/>
    <m/>
    <m/>
    <m/>
    <m/>
    <n v="50"/>
    <n v="7.5"/>
    <n v="1"/>
    <n v="0.1249999985"/>
    <n v="1"/>
    <n v="0.1249999985"/>
    <x v="1"/>
    <s v="NMD"/>
    <s v="TekNat"/>
    <s v="VAL-projektet"/>
    <n v="19863"/>
    <n v="35472"/>
    <n v="6916.8749169974999"/>
    <n v="22200"/>
    <n v="2774.9999667000002"/>
    <n v="9691.8748836974992"/>
    <n v="0"/>
    <n v="0"/>
    <n v="0"/>
    <n v="0"/>
    <n v="0"/>
    <n v="1"/>
    <n v="0"/>
    <n v="0"/>
    <n v="0"/>
    <n v="0"/>
    <n v="0"/>
    <n v="0"/>
  </r>
  <r>
    <s v="6DI018"/>
    <s v="Bedömning - grundnivå (VAL, ULV)"/>
    <m/>
    <s v="LYLÄP"/>
    <m/>
    <s v="VT"/>
    <m/>
    <m/>
    <m/>
    <m/>
    <m/>
    <n v="50"/>
    <n v="7.5"/>
    <n v="53"/>
    <n v="6.6250001325000003"/>
    <n v="1"/>
    <n v="6.6250001325000003"/>
    <x v="1"/>
    <s v="NMD"/>
    <s v="TekNat"/>
    <s v="VAL-projektet"/>
    <n v="24104"/>
    <n v="31432"/>
    <n v="367926.00735852"/>
    <n v="5900"/>
    <n v="39087.500781750001"/>
    <n v="407013.50814027002"/>
    <n v="0"/>
    <n v="0"/>
    <n v="0"/>
    <n v="1"/>
    <n v="0"/>
    <n v="0"/>
    <n v="0"/>
    <n v="0"/>
    <n v="0"/>
    <n v="0"/>
    <n v="0"/>
    <n v="0"/>
  </r>
  <r>
    <s v="6DI019"/>
    <s v="Bedömning - avancerad nivå (VAL, ULV)"/>
    <m/>
    <s v="LYLÄP"/>
    <m/>
    <s v="VT"/>
    <m/>
    <m/>
    <m/>
    <m/>
    <m/>
    <n v="50"/>
    <n v="7.5"/>
    <n v="1"/>
    <n v="0.12500000250000001"/>
    <n v="1"/>
    <n v="0.12500000250000001"/>
    <x v="1"/>
    <s v="NMD"/>
    <s v="TekNat"/>
    <s v="VAL-projektet"/>
    <n v="24104"/>
    <n v="31432"/>
    <n v="6942.0001388400005"/>
    <n v="5900"/>
    <n v="737.5000147500001"/>
    <n v="7679.500153590001"/>
    <n v="0"/>
    <n v="0"/>
    <n v="0"/>
    <n v="1"/>
    <n v="0"/>
    <n v="0"/>
    <n v="0"/>
    <n v="0"/>
    <n v="0"/>
    <n v="0"/>
    <n v="0"/>
    <n v="0"/>
  </r>
  <r>
    <s v="6DI020"/>
    <s v="Vetenskap och kunskap - grundnivå (VAL, ULV)"/>
    <m/>
    <s v="LYLÄP"/>
    <m/>
    <s v="VT"/>
    <m/>
    <m/>
    <m/>
    <m/>
    <m/>
    <n v="50"/>
    <n v="7.5"/>
    <n v="28"/>
    <n v="3.5000000700000005"/>
    <n v="1"/>
    <n v="3.5000000700000005"/>
    <x v="1"/>
    <s v="NMD"/>
    <s v="TekNat"/>
    <s v="VAL-projektet"/>
    <n v="24104"/>
    <n v="31432"/>
    <n v="194376.00388752"/>
    <n v="5900"/>
    <n v="20650.000413000002"/>
    <n v="215026.00430052"/>
    <n v="0"/>
    <n v="0"/>
    <n v="0"/>
    <n v="1"/>
    <n v="0"/>
    <n v="0"/>
    <n v="0"/>
    <n v="0"/>
    <n v="0"/>
    <n v="0"/>
    <n v="0"/>
    <n v="0"/>
  </r>
  <r>
    <s v="6ES038"/>
    <s v="Examensarbete - estetiska ämnen"/>
    <m/>
    <s v="LYLÄP"/>
    <m/>
    <s v="VT"/>
    <m/>
    <m/>
    <m/>
    <m/>
    <m/>
    <n v="100"/>
    <n v="0"/>
    <n v="1"/>
    <n v="0"/>
    <n v="1"/>
    <n v="0"/>
    <x v="2"/>
    <s v="Estetiska ämnen               "/>
    <s v="Hum"/>
    <s v="VAL-projektet"/>
    <n v="19097"/>
    <n v="16075"/>
    <n v="0"/>
    <n v="5900"/>
    <n v="0"/>
    <n v="0"/>
    <n v="0"/>
    <n v="1"/>
    <n v="0"/>
    <n v="0"/>
    <n v="0"/>
    <n v="0"/>
    <n v="0"/>
    <n v="0"/>
    <n v="0"/>
    <n v="0"/>
    <n v="0"/>
    <n v="0"/>
  </r>
  <r>
    <s v="6ES066"/>
    <s v="Ämnesdidaktik i skolpraktiken, del 1"/>
    <m/>
    <s v="LYLÄP"/>
    <m/>
    <s v="VT"/>
    <m/>
    <m/>
    <m/>
    <m/>
    <m/>
    <n v="50"/>
    <n v="15"/>
    <n v="4"/>
    <n v="1.000000008"/>
    <n v="1"/>
    <n v="1.000000008"/>
    <x v="2"/>
    <s v="Estetiska ämnen               "/>
    <s v="Hum"/>
    <s v="VAL-projektet"/>
    <n v="24740"/>
    <n v="27503"/>
    <n v="52243.000417944"/>
    <n v="3500"/>
    <n v="3500.0000279999999"/>
    <n v="55743.000445944002"/>
    <n v="0"/>
    <n v="0"/>
    <n v="0"/>
    <n v="0"/>
    <n v="0"/>
    <n v="0"/>
    <n v="0"/>
    <n v="0"/>
    <n v="1"/>
    <n v="0"/>
    <n v="0"/>
    <n v="0"/>
  </r>
  <r>
    <s v="6ES082"/>
    <s v="Bild 1 distans"/>
    <m/>
    <s v="FRIST"/>
    <m/>
    <s v="VT"/>
    <m/>
    <m/>
    <m/>
    <m/>
    <m/>
    <n v="50"/>
    <n v="15"/>
    <n v="1"/>
    <n v="0.250000002"/>
    <n v="1"/>
    <n v="0.250000002"/>
    <x v="2"/>
    <s v="Estetiska ämnen               "/>
    <s v="Hum"/>
    <s v="Fristående och övriga kurser"/>
    <n v="48895"/>
    <n v="58097"/>
    <n v="26748.000213984"/>
    <n v="70300"/>
    <n v="17575.000140600001"/>
    <n v="44323.000354584001"/>
    <n v="1"/>
    <n v="0"/>
    <n v="0"/>
    <n v="0"/>
    <n v="0"/>
    <n v="0"/>
    <n v="0"/>
    <n v="0"/>
    <n v="0"/>
    <n v="0"/>
    <n v="0"/>
    <n v="0"/>
  </r>
  <r>
    <s v="6ES091"/>
    <s v="Bild 2b, distans"/>
    <m/>
    <s v="LYLÄP"/>
    <m/>
    <s v="VT"/>
    <m/>
    <m/>
    <m/>
    <m/>
    <m/>
    <n v="50"/>
    <n v="15"/>
    <n v="2"/>
    <n v="0.500000004"/>
    <n v="1"/>
    <n v="0.500000004"/>
    <x v="2"/>
    <s v="Estetiska ämnen               "/>
    <s v="Hum"/>
    <s v="VAL-projektet"/>
    <n v="48895"/>
    <n v="58097"/>
    <n v="53496.000427968"/>
    <n v="70300"/>
    <n v="35150.000281200002"/>
    <n v="88646.000709168002"/>
    <n v="1"/>
    <n v="0"/>
    <n v="0"/>
    <n v="0"/>
    <n v="0"/>
    <n v="0"/>
    <n v="0"/>
    <n v="0"/>
    <n v="0"/>
    <n v="0"/>
    <n v="0"/>
    <n v="0"/>
  </r>
  <r>
    <s v="6ES107"/>
    <s v="Skapande bild, distans"/>
    <m/>
    <s v="LYLÄP"/>
    <m/>
    <s v="VT"/>
    <m/>
    <m/>
    <m/>
    <m/>
    <m/>
    <n v="50"/>
    <n v="15"/>
    <n v="2"/>
    <n v="0.125000008"/>
    <n v="1"/>
    <n v="0.125000008"/>
    <x v="2"/>
    <s v="Estetiska ämnen               "/>
    <s v="Hum"/>
    <s v="VAL-projektet"/>
    <n v="41445.5"/>
    <n v="47591.5"/>
    <n v="11129.625712296"/>
    <n v="54200"/>
    <n v="6775.0004336000002"/>
    <n v="17904.626145896"/>
    <n v="0.75"/>
    <n v="0.25"/>
    <n v="0"/>
    <n v="0"/>
    <n v="0"/>
    <n v="0"/>
    <n v="0"/>
    <n v="0"/>
    <n v="0"/>
    <n v="0"/>
    <n v="0"/>
    <n v="0"/>
  </r>
  <r>
    <s v="6ES107"/>
    <s v="Skapande bild, distans"/>
    <m/>
    <s v="LYLÄP"/>
    <m/>
    <s v="VT"/>
    <m/>
    <m/>
    <m/>
    <m/>
    <m/>
    <n v="50"/>
    <n v="15"/>
    <n v="2"/>
    <n v="0.374999996"/>
    <n v="1"/>
    <n v="0.374999996"/>
    <x v="2"/>
    <s v="Estetiska ämnen               "/>
    <s v="Hum"/>
    <s v="VAL-projektet"/>
    <n v="41445.5"/>
    <n v="47591.5"/>
    <n v="33388.874643852003"/>
    <n v="54200"/>
    <n v="20324.999783200001"/>
    <n v="53713.874427052004"/>
    <n v="0.75"/>
    <n v="0.25"/>
    <n v="0"/>
    <n v="0"/>
    <n v="0"/>
    <n v="0"/>
    <n v="0"/>
    <n v="0"/>
    <n v="0"/>
    <n v="0"/>
    <n v="0"/>
    <n v="0"/>
  </r>
  <r>
    <s v="6ES107"/>
    <s v="Skapande bild, distans"/>
    <m/>
    <s v="FRIST"/>
    <m/>
    <s v="VT"/>
    <m/>
    <m/>
    <m/>
    <m/>
    <m/>
    <n v="50"/>
    <n v="15"/>
    <n v="2"/>
    <n v="0.125000008"/>
    <n v="1"/>
    <n v="0.125000008"/>
    <x v="2"/>
    <s v="Estetiska ämnen               "/>
    <s v="Hum"/>
    <s v="Fristående och övriga kurser"/>
    <n v="41445.5"/>
    <n v="47591.5"/>
    <n v="11129.625712296"/>
    <n v="54200"/>
    <n v="6775.0004336000002"/>
    <n v="17904.626145896"/>
    <n v="0.75"/>
    <n v="0.25"/>
    <n v="0"/>
    <n v="0"/>
    <n v="0"/>
    <n v="0"/>
    <n v="0"/>
    <n v="0"/>
    <n v="0"/>
    <n v="0"/>
    <n v="0"/>
    <n v="0"/>
  </r>
  <r>
    <s v="6ES107"/>
    <s v="Skapande bild, distans"/>
    <m/>
    <s v="FRIST"/>
    <m/>
    <s v="VT"/>
    <m/>
    <m/>
    <m/>
    <m/>
    <m/>
    <n v="50"/>
    <n v="15"/>
    <n v="2"/>
    <n v="0.374999996"/>
    <n v="1"/>
    <n v="0.374999996"/>
    <x v="2"/>
    <s v="Estetiska ämnen               "/>
    <s v="Hum"/>
    <s v="Fristående och övriga kurser"/>
    <n v="41445.5"/>
    <n v="47591.5"/>
    <n v="33388.874643852003"/>
    <n v="54200"/>
    <n v="20324.999783200001"/>
    <n v="53713.874427052004"/>
    <n v="0.75"/>
    <n v="0.25"/>
    <n v="0"/>
    <n v="0"/>
    <n v="0"/>
    <n v="0"/>
    <n v="0"/>
    <n v="0"/>
    <n v="0"/>
    <n v="0"/>
    <n v="0"/>
    <n v="0"/>
  </r>
  <r>
    <s v="6ID018"/>
    <s v="Idrott och hälsa 3"/>
    <m/>
    <s v="LYLÄP"/>
    <m/>
    <s v="VT"/>
    <m/>
    <m/>
    <m/>
    <m/>
    <m/>
    <n v="100"/>
    <n v="30"/>
    <n v="1"/>
    <n v="0.500000004"/>
    <n v="1"/>
    <n v="0.500000004"/>
    <x v="3"/>
    <s v="Pedagogik                     "/>
    <s v="Sam"/>
    <s v="VAL-projektet"/>
    <n v="45856"/>
    <n v="34830"/>
    <n v="40343.000322744003"/>
    <n v="35200"/>
    <n v="17600.000140799999"/>
    <n v="57943.000463543998"/>
    <n v="0"/>
    <n v="0"/>
    <n v="1"/>
    <n v="0"/>
    <n v="0"/>
    <n v="0"/>
    <n v="0"/>
    <n v="0"/>
    <n v="0"/>
    <n v="0"/>
    <n v="0"/>
    <n v="0"/>
  </r>
  <r>
    <s v="6KE100"/>
    <s v="Kemididaktik för ämneslärare för åk 7-9"/>
    <m/>
    <s v="LYLÄP"/>
    <m/>
    <s v="VT"/>
    <m/>
    <m/>
    <m/>
    <m/>
    <m/>
    <n v="50"/>
    <n v="7.5"/>
    <n v="1"/>
    <n v="0.1249999985"/>
    <n v="1"/>
    <n v="0.1249999985"/>
    <x v="1"/>
    <s v="NMD"/>
    <s v="TekNat"/>
    <s v="VAL-projektet"/>
    <n v="19863"/>
    <n v="35472"/>
    <n v="6916.8749169974999"/>
    <n v="22200"/>
    <n v="2774.9999667000002"/>
    <n v="9691.8748836974992"/>
    <n v="0"/>
    <n v="0"/>
    <n v="0"/>
    <n v="0"/>
    <n v="0"/>
    <n v="1"/>
    <n v="0"/>
    <n v="0"/>
    <n v="0"/>
    <n v="0"/>
    <n v="0"/>
    <n v="0"/>
  </r>
  <r>
    <s v="6KN023"/>
    <s v="Hem- och konsumentkunskap A"/>
    <m/>
    <s v="LYLÄP"/>
    <m/>
    <s v="VT"/>
    <m/>
    <m/>
    <m/>
    <m/>
    <m/>
    <n v="100"/>
    <n v="30"/>
    <n v="1"/>
    <n v="0.500000004"/>
    <n v="1"/>
    <n v="0.500000004"/>
    <x v="4"/>
    <s v="Kostvetenskap                 "/>
    <s v="Sam"/>
    <s v="VAL-projektet"/>
    <n v="19863"/>
    <n v="35472"/>
    <n v="27667.50022134"/>
    <n v="22200"/>
    <n v="11100.0000888"/>
    <n v="38767.50031014"/>
    <n v="0"/>
    <n v="0"/>
    <n v="0"/>
    <n v="0"/>
    <n v="0"/>
    <n v="1"/>
    <n v="0"/>
    <n v="0"/>
    <n v="0"/>
    <n v="0"/>
    <n v="0"/>
    <n v="0"/>
  </r>
  <r>
    <s v="6KN027"/>
    <s v="Hälsokommunikation och sociologiska perspektiv inom hem- och konsumentkunskap"/>
    <m/>
    <s v="LYLÄP"/>
    <m/>
    <s v="VT"/>
    <m/>
    <m/>
    <m/>
    <m/>
    <m/>
    <n v="33"/>
    <n v="7.5"/>
    <n v="5"/>
    <n v="0.62500000499999997"/>
    <n v="1"/>
    <n v="0.62500000499999997"/>
    <x v="4"/>
    <s v="Kostvetenskap                 "/>
    <s v="Sam"/>
    <s v="VAL-projektet"/>
    <n v="19097"/>
    <n v="16075"/>
    <n v="21982.500175859997"/>
    <n v="5900"/>
    <n v="3687.5000295"/>
    <n v="25670.000205359996"/>
    <n v="0"/>
    <n v="0"/>
    <n v="0"/>
    <n v="0"/>
    <n v="0"/>
    <n v="0"/>
    <n v="1"/>
    <n v="0"/>
    <n v="0"/>
    <n v="0"/>
    <n v="0"/>
    <n v="0"/>
  </r>
  <r>
    <s v="6KN028"/>
    <s v="Vetenskaplig metod med inriktning hem- och konsumentkunskap"/>
    <m/>
    <s v="LYLÄP"/>
    <m/>
    <s v="VT"/>
    <m/>
    <m/>
    <m/>
    <m/>
    <m/>
    <n v="100"/>
    <n v="7.5"/>
    <n v="7"/>
    <n v="0.87500000770000008"/>
    <n v="1"/>
    <n v="0.87500000770000008"/>
    <x v="4"/>
    <s v="Kostvetenskap                 "/>
    <s v="Sam"/>
    <s v="VAL-projektet"/>
    <n v="19097"/>
    <n v="16075"/>
    <n v="30775.500270824406"/>
    <n v="5900"/>
    <n v="5162.5000454300007"/>
    <n v="35938.000316254409"/>
    <n v="0"/>
    <n v="0"/>
    <n v="0"/>
    <n v="0"/>
    <n v="0"/>
    <n v="0"/>
    <n v="1"/>
    <n v="0"/>
    <n v="0"/>
    <n v="0"/>
    <n v="0"/>
    <n v="0"/>
  </r>
  <r>
    <s v="6KN029"/>
    <s v="Uppsats med inriktning hem- och konsumentkunskap"/>
    <m/>
    <s v="LYLÄP"/>
    <m/>
    <s v="VT"/>
    <m/>
    <m/>
    <m/>
    <m/>
    <m/>
    <n v="67"/>
    <n v="15"/>
    <n v="7"/>
    <n v="1.7500000371"/>
    <n v="1"/>
    <n v="1.7500000371"/>
    <x v="4"/>
    <s v="Kostvetenskap                 "/>
    <s v="Sam"/>
    <s v="VAL-projektet"/>
    <n v="19097"/>
    <n v="16075"/>
    <n v="61551.001304881196"/>
    <n v="5900"/>
    <n v="10325.00021889"/>
    <n v="71876.001523771192"/>
    <n v="0"/>
    <n v="0"/>
    <n v="0"/>
    <n v="0"/>
    <n v="0"/>
    <n v="0"/>
    <n v="1"/>
    <n v="0"/>
    <n v="0"/>
    <n v="0"/>
    <n v="0"/>
    <n v="0"/>
  </r>
  <r>
    <s v="6KS005"/>
    <s v="Skolmusikal"/>
    <m/>
    <s v="LYLÄP"/>
    <m/>
    <s v="VT"/>
    <m/>
    <m/>
    <m/>
    <m/>
    <m/>
    <n v="25"/>
    <n v="7.5"/>
    <n v="1"/>
    <n v="0.124999994"/>
    <n v="1"/>
    <n v="0.124999994"/>
    <x v="2"/>
    <s v="Estetiska ämnen               "/>
    <s v="Hum"/>
    <s v="VAL-projektet"/>
    <n v="31433"/>
    <n v="65018"/>
    <n v="12056.374421294"/>
    <n v="71400"/>
    <n v="8924.9995715999994"/>
    <n v="20981.373992893998"/>
    <n v="0"/>
    <n v="0"/>
    <n v="0"/>
    <n v="0"/>
    <n v="1"/>
    <n v="0"/>
    <n v="0"/>
    <n v="0"/>
    <n v="0"/>
    <n v="0"/>
    <n v="0"/>
    <n v="0"/>
  </r>
  <r>
    <s v="6LÄ056"/>
    <s v="Läs - och skrivutveckling, kurs 2"/>
    <m/>
    <s v="LYLÄP"/>
    <m/>
    <s v="VT"/>
    <m/>
    <m/>
    <m/>
    <m/>
    <m/>
    <n v="50"/>
    <n v="7.5"/>
    <n v="10"/>
    <n v="1.2500000250000001"/>
    <n v="1"/>
    <n v="1.2500000250000001"/>
    <x v="0"/>
    <s v="Inst för språkstudier"/>
    <s v="Hum"/>
    <s v="VAL-projektet"/>
    <n v="19097"/>
    <n v="16075"/>
    <n v="43965.000879300002"/>
    <n v="5900"/>
    <n v="7375.0001475000008"/>
    <n v="51340.001026800004"/>
    <n v="0"/>
    <n v="1"/>
    <n v="0"/>
    <n v="0"/>
    <n v="0"/>
    <n v="0"/>
    <n v="0"/>
    <n v="0"/>
    <n v="0"/>
    <n v="0"/>
    <n v="0"/>
    <n v="0"/>
  </r>
  <r>
    <s v="6MA044"/>
    <s v="Problemlösning och matematiska resonemang"/>
    <m/>
    <s v="LYLÄP"/>
    <m/>
    <s v="VT"/>
    <m/>
    <m/>
    <m/>
    <m/>
    <m/>
    <n v="100"/>
    <n v="7.5"/>
    <n v="2"/>
    <n v="0.12500000040000001"/>
    <n v="1"/>
    <n v="0.12500000040000001"/>
    <x v="5"/>
    <s v="Inst för MA och MA statistik"/>
    <s v="TekNat"/>
    <s v="VAL-projektet"/>
    <n v="19863"/>
    <n v="35472"/>
    <n v="6916.8750221340006"/>
    <n v="22200"/>
    <n v="2775.0000088800002"/>
    <n v="9691.8750310140003"/>
    <n v="0"/>
    <n v="0"/>
    <n v="0"/>
    <n v="0"/>
    <n v="0"/>
    <n v="0.5"/>
    <n v="0"/>
    <n v="0.5"/>
    <n v="0"/>
    <n v="0"/>
    <n v="0"/>
    <n v="0"/>
  </r>
  <r>
    <s v="6MN036"/>
    <s v="Examensarbete för ämneslärarexamen - Matematik"/>
    <m/>
    <s v="LYLÄP"/>
    <m/>
    <s v="VT"/>
    <m/>
    <m/>
    <m/>
    <m/>
    <m/>
    <n v="100"/>
    <n v="22.5"/>
    <n v="1"/>
    <n v="0.37500000119999999"/>
    <n v="1"/>
    <n v="0.37500000119999999"/>
    <x v="1"/>
    <s v="NMD"/>
    <s v="TekNat"/>
    <s v="VAL-projektet"/>
    <n v="19863"/>
    <n v="35472"/>
    <n v="20750.625066402001"/>
    <n v="22200"/>
    <n v="8325.0000266400002"/>
    <n v="29075.625093041999"/>
    <n v="0"/>
    <n v="0"/>
    <n v="0"/>
    <n v="0"/>
    <n v="0"/>
    <n v="1"/>
    <n v="0"/>
    <n v="0"/>
    <n v="0"/>
    <n v="0"/>
    <n v="0"/>
    <n v="0"/>
  </r>
  <r>
    <s v="6MN049"/>
    <s v="Matematik 1 för lärande och undervisning för förskoleklass och grundskolans årskurs 1-6"/>
    <m/>
    <s v="LYLÄP"/>
    <m/>
    <s v="VT"/>
    <m/>
    <m/>
    <m/>
    <m/>
    <m/>
    <n v="50"/>
    <n v="15"/>
    <n v="3"/>
    <n v="0.75000000600000005"/>
    <n v="1"/>
    <n v="0.75000000600000005"/>
    <x v="1"/>
    <s v="NMD"/>
    <s v="TekNat"/>
    <s v="VAL-projektet"/>
    <n v="19863"/>
    <n v="35472"/>
    <n v="41501.25033201"/>
    <n v="22200"/>
    <n v="16650.000133200003"/>
    <n v="58151.250465210003"/>
    <n v="0"/>
    <n v="0"/>
    <n v="0"/>
    <n v="0"/>
    <n v="0"/>
    <n v="1"/>
    <n v="0"/>
    <n v="0"/>
    <n v="0"/>
    <n v="0"/>
    <n v="0"/>
    <n v="0"/>
  </r>
  <r>
    <s v="6MN050"/>
    <s v="Matematikdidaktik 1 för grundskolans åk 7-9 och gymnasiet"/>
    <m/>
    <s v="LYLÄP"/>
    <m/>
    <s v="VT"/>
    <m/>
    <m/>
    <m/>
    <m/>
    <m/>
    <n v="100"/>
    <n v="7.5"/>
    <n v="2"/>
    <n v="0.25000000160000002"/>
    <n v="1"/>
    <n v="0.25000000160000002"/>
    <x v="1"/>
    <s v="NMD"/>
    <s v="TekNat"/>
    <s v="VAL-projektet"/>
    <n v="19863"/>
    <n v="35472"/>
    <n v="13833.750088536002"/>
    <n v="22200"/>
    <n v="5550.0000355200009"/>
    <n v="19383.750124056001"/>
    <n v="0"/>
    <n v="0"/>
    <n v="0"/>
    <n v="0"/>
    <n v="0"/>
    <n v="1"/>
    <n v="0"/>
    <n v="0"/>
    <n v="0"/>
    <n v="0"/>
    <n v="0"/>
    <n v="0"/>
  </r>
  <r>
    <s v="6MU058"/>
    <s v="Musik 1, distans"/>
    <m/>
    <s v="LYLÄP"/>
    <m/>
    <s v="VT"/>
    <m/>
    <m/>
    <m/>
    <m/>
    <m/>
    <n v="50"/>
    <n v="15"/>
    <n v="3"/>
    <n v="0.75000000600000005"/>
    <n v="1"/>
    <n v="0.75000000600000005"/>
    <x v="2"/>
    <s v="Estetiska ämnen               "/>
    <s v="Hum"/>
    <s v="VAL-projektet"/>
    <n v="31433"/>
    <n v="65018"/>
    <n v="72338.250578706007"/>
    <n v="71400"/>
    <n v="53550.000428400002"/>
    <n v="125888.25100710601"/>
    <n v="0"/>
    <n v="0"/>
    <n v="0"/>
    <n v="0"/>
    <n v="1"/>
    <n v="0"/>
    <n v="0"/>
    <n v="0"/>
    <n v="0"/>
    <n v="0"/>
    <n v="0"/>
    <n v="0"/>
  </r>
  <r>
    <s v="6MU058"/>
    <s v="Musik 1, distans"/>
    <m/>
    <s v="FRIST"/>
    <m/>
    <s v="VT"/>
    <m/>
    <m/>
    <m/>
    <m/>
    <m/>
    <n v="50"/>
    <n v="15"/>
    <n v="1"/>
    <n v="0.250000002"/>
    <n v="1"/>
    <n v="0.250000002"/>
    <x v="2"/>
    <s v="Estetiska ämnen               "/>
    <s v="Hum"/>
    <s v="Fristående och övriga kurser"/>
    <n v="31433"/>
    <n v="65018"/>
    <n v="24112.750192902"/>
    <n v="71400"/>
    <n v="17850.0001428"/>
    <n v="41962.750335702003"/>
    <n v="0"/>
    <n v="0"/>
    <n v="0"/>
    <n v="0"/>
    <n v="1"/>
    <n v="0"/>
    <n v="0"/>
    <n v="0"/>
    <n v="0"/>
    <n v="0"/>
    <n v="0"/>
    <n v="0"/>
  </r>
  <r>
    <s v="6MU059"/>
    <s v="Musik 2, distans"/>
    <m/>
    <s v="LYLÄP"/>
    <m/>
    <s v="VT"/>
    <m/>
    <m/>
    <m/>
    <m/>
    <m/>
    <n v="50"/>
    <n v="15"/>
    <n v="5"/>
    <n v="1.2500000099999999"/>
    <n v="1"/>
    <n v="1.2500000099999999"/>
    <x v="2"/>
    <s v="Estetiska ämnen               "/>
    <s v="Hum"/>
    <s v="VAL-projektet"/>
    <n v="31433"/>
    <n v="65018"/>
    <n v="120563.75096450999"/>
    <n v="71400"/>
    <n v="89250.000713999994"/>
    <n v="209813.75167850999"/>
    <n v="0"/>
    <n v="0"/>
    <n v="0"/>
    <n v="0"/>
    <n v="1"/>
    <n v="0"/>
    <n v="0"/>
    <n v="0"/>
    <n v="0"/>
    <n v="0"/>
    <n v="0"/>
    <n v="0"/>
  </r>
  <r>
    <s v="6MU059"/>
    <s v="Musik 2, distans"/>
    <m/>
    <s v="FRIST"/>
    <m/>
    <s v="VT"/>
    <m/>
    <m/>
    <m/>
    <m/>
    <m/>
    <n v="50"/>
    <n v="15"/>
    <n v="3"/>
    <n v="0.75000000600000005"/>
    <n v="1"/>
    <n v="0.75000000600000005"/>
    <x v="2"/>
    <s v="Estetiska ämnen               "/>
    <s v="Hum"/>
    <s v="Fristående och övriga kurser"/>
    <n v="31433"/>
    <n v="65018"/>
    <n v="72338.250578706007"/>
    <n v="71400"/>
    <n v="53550.000428400002"/>
    <n v="125888.25100710601"/>
    <n v="0"/>
    <n v="0"/>
    <n v="0"/>
    <n v="0"/>
    <n v="1"/>
    <n v="0"/>
    <n v="0"/>
    <n v="0"/>
    <n v="0"/>
    <n v="0"/>
    <n v="0"/>
    <n v="0"/>
  </r>
  <r>
    <s v="6MU060"/>
    <s v="Musik 3, distans"/>
    <m/>
    <s v="LYLÄP"/>
    <m/>
    <s v="VT"/>
    <m/>
    <m/>
    <m/>
    <m/>
    <m/>
    <n v="50"/>
    <n v="15"/>
    <n v="1"/>
    <n v="0.250000002"/>
    <n v="1"/>
    <n v="0.250000002"/>
    <x v="2"/>
    <s v="Estetiska ämnen               "/>
    <s v="Hum"/>
    <s v="VAL-projektet"/>
    <n v="31433"/>
    <n v="65018"/>
    <n v="24112.750192902"/>
    <n v="71400"/>
    <n v="17850.0001428"/>
    <n v="41962.750335702003"/>
    <n v="0"/>
    <n v="0"/>
    <n v="0"/>
    <n v="0"/>
    <n v="1"/>
    <n v="0"/>
    <n v="0"/>
    <n v="0"/>
    <n v="0"/>
    <n v="0"/>
    <n v="0"/>
    <n v="0"/>
  </r>
  <r>
    <s v="6MU060"/>
    <s v="Musik 3, distans"/>
    <m/>
    <s v="FRIST"/>
    <m/>
    <s v="VT"/>
    <m/>
    <m/>
    <m/>
    <m/>
    <m/>
    <n v="50"/>
    <n v="15"/>
    <n v="1"/>
    <n v="0.250000002"/>
    <n v="1"/>
    <n v="0.250000002"/>
    <x v="2"/>
    <s v="Estetiska ämnen               "/>
    <s v="Hum"/>
    <s v="Fristående och övriga kurser"/>
    <n v="31433"/>
    <n v="65018"/>
    <n v="24112.750192902"/>
    <n v="71400"/>
    <n v="17850.0001428"/>
    <n v="41962.750335702003"/>
    <n v="0"/>
    <n v="0"/>
    <n v="0"/>
    <n v="0"/>
    <n v="1"/>
    <n v="0"/>
    <n v="0"/>
    <n v="0"/>
    <n v="0"/>
    <n v="0"/>
    <n v="0"/>
    <n v="0"/>
  </r>
  <r>
    <s v="6PE176"/>
    <s v="Utbildningens villkor och samhälleliga funktion - grundnivå (VAL, ULV)"/>
    <m/>
    <s v="LYLÄP"/>
    <m/>
    <s v="VT"/>
    <m/>
    <m/>
    <m/>
    <m/>
    <m/>
    <n v="50"/>
    <n v="7.5"/>
    <n v="12"/>
    <n v="1.4999999820000001"/>
    <n v="1"/>
    <n v="1.4999999820000001"/>
    <x v="6"/>
    <s v="TUV "/>
    <s v="Sam"/>
    <s v="VAL-projektet"/>
    <n v="24104"/>
    <n v="31432"/>
    <n v="83303.999000352007"/>
    <n v="5900"/>
    <n v="8849.9998938000008"/>
    <n v="92153.998894152013"/>
    <n v="0"/>
    <n v="0"/>
    <n v="0"/>
    <n v="1"/>
    <n v="0"/>
    <n v="0"/>
    <n v="0"/>
    <n v="0"/>
    <n v="0"/>
    <n v="0"/>
    <n v="0"/>
    <n v="0"/>
  </r>
  <r>
    <s v="6PE177"/>
    <s v="Specialpedagogik, sociala relationer och kommunikation - grundnivå (VAL, ULV)"/>
    <m/>
    <s v="LYLÄP"/>
    <m/>
    <s v="VT"/>
    <m/>
    <m/>
    <m/>
    <m/>
    <m/>
    <n v="50"/>
    <n v="7.5"/>
    <n v="35"/>
    <n v="4.3749999475000001"/>
    <n v="1"/>
    <n v="4.3749999475000001"/>
    <x v="6"/>
    <s v="TUV "/>
    <s v="Sam"/>
    <s v="VAL-projektet"/>
    <n v="24104"/>
    <n v="31432"/>
    <n v="242969.99708435999"/>
    <n v="5900"/>
    <n v="25812.499690249999"/>
    <n v="268782.49677461002"/>
    <n v="0"/>
    <n v="0"/>
    <n v="0"/>
    <n v="1"/>
    <n v="0"/>
    <n v="0"/>
    <n v="0"/>
    <n v="0"/>
    <n v="0"/>
    <n v="0"/>
    <n v="0"/>
    <n v="0"/>
  </r>
  <r>
    <s v="6PE179"/>
    <s v="Uppdrag, ledarskap och undervisning - grundnivå (VAL, ULV)"/>
    <m/>
    <s v="LYLÄP"/>
    <m/>
    <s v="VT"/>
    <m/>
    <m/>
    <m/>
    <m/>
    <m/>
    <n v="50"/>
    <n v="7.5"/>
    <n v="8"/>
    <n v="1.0000000200000001"/>
    <n v="1"/>
    <n v="1.0000000200000001"/>
    <x v="3"/>
    <s v="Pedagogik                     "/>
    <s v="Sam"/>
    <s v="VAL-projektet"/>
    <n v="24104"/>
    <n v="31432"/>
    <n v="55536.001110720004"/>
    <n v="5900"/>
    <n v="5900.0001180000008"/>
    <n v="61436.001228720008"/>
    <n v="0"/>
    <n v="0"/>
    <n v="0"/>
    <n v="1"/>
    <n v="0"/>
    <n v="0"/>
    <n v="0"/>
    <n v="0"/>
    <n v="0"/>
    <n v="0"/>
    <n v="0"/>
    <n v="0"/>
  </r>
  <r>
    <s v="6PE180"/>
    <s v="Undervisning och lärande - läroplansteori och didaktik - grundnivå (VAL, ULV)"/>
    <m/>
    <s v="LYLÄP"/>
    <m/>
    <s v="VT"/>
    <m/>
    <m/>
    <m/>
    <m/>
    <m/>
    <n v="50"/>
    <n v="7.5"/>
    <n v="37"/>
    <n v="4.6249999444999998"/>
    <n v="1"/>
    <n v="4.6249999444999998"/>
    <x v="3"/>
    <s v="Pedagogik                     "/>
    <s v="Sam"/>
    <s v="VAL-projektet"/>
    <n v="24104"/>
    <n v="31432"/>
    <n v="256853.996917752"/>
    <n v="5900"/>
    <n v="27287.499672549999"/>
    <n v="284141.49659030198"/>
    <n v="0"/>
    <n v="0"/>
    <n v="0"/>
    <n v="1"/>
    <n v="0"/>
    <n v="0"/>
    <n v="0"/>
    <n v="0"/>
    <n v="0"/>
    <n v="0"/>
    <n v="0"/>
    <n v="0"/>
  </r>
  <r>
    <s v="6PE248"/>
    <s v="Examensarbete med ämnesdidaktisk inriktning (VAL, ULV)"/>
    <m/>
    <s v="LYLÄP"/>
    <m/>
    <s v="VT"/>
    <m/>
    <m/>
    <m/>
    <m/>
    <m/>
    <n v="50"/>
    <n v="15"/>
    <n v="20"/>
    <n v="5.0000000399999998"/>
    <n v="1"/>
    <n v="5.0000000399999998"/>
    <x v="6"/>
    <s v="TUV "/>
    <s v="Sam"/>
    <s v="VAL-projektet"/>
    <n v="24104"/>
    <n v="31432"/>
    <n v="277680.00222143997"/>
    <n v="5900"/>
    <n v="29500.000236"/>
    <n v="307180.00245743996"/>
    <n v="0"/>
    <n v="0"/>
    <n v="0"/>
    <n v="1"/>
    <n v="0"/>
    <n v="0"/>
    <n v="0"/>
    <n v="0"/>
    <n v="0"/>
    <n v="0"/>
    <n v="0"/>
    <n v="0"/>
  </r>
  <r>
    <s v="6SA011"/>
    <s v="Spanska för ämneslärare, kurs III"/>
    <m/>
    <s v="LYLÄP"/>
    <m/>
    <s v="VT"/>
    <m/>
    <m/>
    <m/>
    <m/>
    <m/>
    <n v="100"/>
    <n v="30"/>
    <n v="1"/>
    <n v="0.500000004"/>
    <n v="1"/>
    <n v="0.500000004"/>
    <x v="0"/>
    <s v="Inst för språkstudier"/>
    <s v="Hum"/>
    <s v="VAL-projektet"/>
    <n v="19097"/>
    <n v="16075"/>
    <n v="17586.000140688"/>
    <n v="5900"/>
    <n v="2950.0000236000001"/>
    <n v="20536.000164288002"/>
    <n v="0"/>
    <n v="1"/>
    <n v="0"/>
    <n v="0"/>
    <n v="0"/>
    <n v="0"/>
    <n v="0"/>
    <n v="0"/>
    <n v="0"/>
    <n v="0"/>
    <n v="0"/>
    <n v="0"/>
  </r>
  <r>
    <s v="6SL022"/>
    <s v="Slöjd, Trä- och metall 2b, distans"/>
    <m/>
    <s v="LYLÄP"/>
    <m/>
    <s v="VT"/>
    <m/>
    <m/>
    <m/>
    <m/>
    <m/>
    <n v="50"/>
    <n v="15"/>
    <n v="7"/>
    <n v="1.750000014"/>
    <n v="1"/>
    <n v="1.750000014"/>
    <x v="2"/>
    <s v="Estetiska ämnen               "/>
    <s v="Hum"/>
    <s v="VAL-projektet"/>
    <n v="19863"/>
    <n v="35472"/>
    <n v="96836.250774690008"/>
    <n v="22200"/>
    <n v="38850.000310800002"/>
    <n v="135686.25108549002"/>
    <n v="0"/>
    <n v="0"/>
    <n v="0"/>
    <n v="0"/>
    <n v="0"/>
    <n v="0"/>
    <n v="0"/>
    <n v="1"/>
    <n v="0"/>
    <n v="0"/>
    <n v="0"/>
    <n v="0"/>
  </r>
  <r>
    <s v="6SL035"/>
    <s v="Slöjd 1, Trä- och metall"/>
    <m/>
    <s v="LYLÄP"/>
    <m/>
    <s v="VT"/>
    <m/>
    <m/>
    <m/>
    <m/>
    <m/>
    <n v="50"/>
    <n v="15"/>
    <n v="1"/>
    <n v="0.250000002"/>
    <n v="1"/>
    <n v="0.250000002"/>
    <x v="2"/>
    <s v="Estetiska ämnen               "/>
    <s v="Hum"/>
    <s v="VAL-projektet"/>
    <n v="19863"/>
    <n v="35472"/>
    <n v="13833.75011067"/>
    <n v="22200"/>
    <n v="5550.0000443999998"/>
    <n v="19383.75015507"/>
    <n v="0"/>
    <n v="0"/>
    <n v="0"/>
    <n v="0"/>
    <n v="0"/>
    <n v="0"/>
    <n v="0"/>
    <n v="1"/>
    <n v="0"/>
    <n v="0"/>
    <n v="0"/>
    <n v="0"/>
  </r>
  <r>
    <s v="6SL038"/>
    <s v="Skapandets intryck - utveckla och tala om hantverkets tysta kunskap"/>
    <m/>
    <s v="LYLÄP"/>
    <m/>
    <s v="VT"/>
    <m/>
    <m/>
    <m/>
    <m/>
    <m/>
    <n v="50"/>
    <n v="15"/>
    <n v="8"/>
    <n v="2.000000016"/>
    <n v="1"/>
    <n v="2.000000016"/>
    <x v="2"/>
    <s v="Estetiska ämnen               "/>
    <s v="Hum"/>
    <s v="VAL-projektet"/>
    <n v="19863"/>
    <n v="35472"/>
    <n v="110670.00088536"/>
    <n v="22200"/>
    <n v="44400.000355199998"/>
    <n v="155070.00124056"/>
    <n v="0"/>
    <n v="0"/>
    <n v="0"/>
    <n v="0"/>
    <n v="0"/>
    <n v="0"/>
    <n v="0"/>
    <n v="1"/>
    <n v="0"/>
    <n v="0"/>
    <n v="0"/>
    <n v="0"/>
  </r>
  <r>
    <s v="6SV017"/>
    <s v="Läs- och skrivinlärning 1"/>
    <m/>
    <s v="LYLÄP"/>
    <m/>
    <s v="VT"/>
    <m/>
    <m/>
    <m/>
    <m/>
    <m/>
    <n v="50"/>
    <n v="7.5"/>
    <n v="5"/>
    <n v="0.62499999250000005"/>
    <n v="1"/>
    <n v="0.62499999250000005"/>
    <x v="0"/>
    <s v="Inst för språkstudier"/>
    <s v="Hum"/>
    <s v="VAL-projektet"/>
    <n v="19097"/>
    <n v="16075"/>
    <n v="21982.499736210004"/>
    <n v="5900"/>
    <n v="3687.4999557500005"/>
    <n v="25669.999691960005"/>
    <n v="0"/>
    <n v="1"/>
    <n v="0"/>
    <n v="0"/>
    <n v="0"/>
    <n v="0"/>
    <n v="0"/>
    <n v="0"/>
    <n v="0"/>
    <n v="0"/>
    <n v="0"/>
    <n v="0"/>
  </r>
  <r>
    <s v="6SV066"/>
    <s v="Svenska som andraspråk C, Diskriminerande strukturer och skönlitteratur"/>
    <m/>
    <s v="LYLÄP"/>
    <m/>
    <s v="VT"/>
    <m/>
    <m/>
    <m/>
    <m/>
    <m/>
    <n v="50"/>
    <n v="15"/>
    <n v="1"/>
    <n v="0.250000002"/>
    <n v="1"/>
    <n v="0.250000002"/>
    <x v="0"/>
    <s v="Inst för språkstudier"/>
    <s v="Hum"/>
    <s v="VAL-projektet"/>
    <n v="19097"/>
    <n v="16075"/>
    <n v="8793.0000703440001"/>
    <n v="5900"/>
    <n v="1475.0000118"/>
    <n v="10268.000082144001"/>
    <n v="0"/>
    <n v="1"/>
    <n v="0"/>
    <n v="0"/>
    <n v="0"/>
    <n v="0"/>
    <n v="0"/>
    <n v="0"/>
    <n v="0"/>
    <n v="0"/>
    <n v="0"/>
    <n v="0"/>
  </r>
  <r>
    <s v="6TX020"/>
    <s v="Slöjd, textil 2b, distans"/>
    <m/>
    <s v="LYLÄP"/>
    <m/>
    <s v="VT"/>
    <m/>
    <m/>
    <m/>
    <m/>
    <m/>
    <n v="50"/>
    <n v="15"/>
    <n v="2"/>
    <n v="0.500000004"/>
    <n v="1"/>
    <n v="0.500000004"/>
    <x v="2"/>
    <s v="Estetiska ämnen               "/>
    <s v="Hum"/>
    <s v="VAL-projektet"/>
    <n v="19863"/>
    <n v="35472"/>
    <n v="27667.50022134"/>
    <n v="22200"/>
    <n v="11100.0000888"/>
    <n v="38767.50031014"/>
    <n v="0"/>
    <n v="0"/>
    <n v="0"/>
    <n v="0"/>
    <n v="0"/>
    <n v="0"/>
    <n v="0"/>
    <n v="1"/>
    <n v="0"/>
    <n v="0"/>
    <n v="0"/>
    <n v="0"/>
  </r>
  <r>
    <s v="6TX025"/>
    <s v="Textila uttryck"/>
    <m/>
    <s v="LYLÄP"/>
    <m/>
    <s v="VT"/>
    <m/>
    <m/>
    <m/>
    <m/>
    <m/>
    <n v="50"/>
    <n v="15"/>
    <n v="4"/>
    <n v="1.000000008"/>
    <n v="1"/>
    <n v="1.000000008"/>
    <x v="2"/>
    <s v="Estetiska ämnen               "/>
    <s v="Hum"/>
    <s v="VAL-projektet"/>
    <n v="19863"/>
    <n v="35472"/>
    <n v="55335.000442680001"/>
    <n v="22200"/>
    <n v="22200.000177599999"/>
    <n v="77535.00062028"/>
    <n v="0"/>
    <n v="0"/>
    <n v="0"/>
    <n v="0"/>
    <n v="0"/>
    <n v="0"/>
    <n v="0"/>
    <n v="1"/>
    <n v="0"/>
    <n v="0"/>
    <n v="0"/>
    <n v="0"/>
  </r>
  <r>
    <s v="6TX025"/>
    <s v="Textila uttryck"/>
    <m/>
    <s v="FRIST"/>
    <m/>
    <s v="VT"/>
    <m/>
    <m/>
    <m/>
    <m/>
    <m/>
    <n v="50"/>
    <n v="15"/>
    <n v="1"/>
    <n v="0.250000002"/>
    <n v="1"/>
    <n v="0.250000002"/>
    <x v="2"/>
    <s v="Estetiska ämnen               "/>
    <s v="Hum"/>
    <s v="Fristående och övriga kurser"/>
    <n v="19863"/>
    <n v="35472"/>
    <n v="13833.75011067"/>
    <n v="22200"/>
    <n v="5550.0000443999998"/>
    <n v="19383.75015507"/>
    <n v="0"/>
    <n v="0"/>
    <n v="0"/>
    <n v="0"/>
    <n v="0"/>
    <n v="0"/>
    <n v="0"/>
    <n v="1"/>
    <n v="0"/>
    <n v="0"/>
    <n v="0"/>
    <n v="0"/>
  </r>
  <r>
    <s v="6TX026"/>
    <s v="Slöjd 1, textil"/>
    <m/>
    <s v="LYLÄP"/>
    <m/>
    <s v="VT"/>
    <m/>
    <m/>
    <m/>
    <m/>
    <m/>
    <n v="50"/>
    <n v="15"/>
    <n v="1"/>
    <n v="0.250000002"/>
    <n v="1"/>
    <n v="0.250000002"/>
    <x v="2"/>
    <s v="Estetiska ämnen               "/>
    <s v="Hum"/>
    <s v="VAL-projektet"/>
    <n v="19863"/>
    <n v="35472"/>
    <n v="13833.75011067"/>
    <n v="22200"/>
    <n v="5550.0000443999998"/>
    <n v="19383.75015507"/>
    <n v="0"/>
    <n v="0"/>
    <n v="0"/>
    <n v="0"/>
    <n v="0"/>
    <n v="0"/>
    <n v="0"/>
    <n v="1"/>
    <n v="0"/>
    <n v="0"/>
    <n v="0"/>
    <n v="0"/>
  </r>
  <r>
    <s v="6TX030"/>
    <s v="Väv- och kläddesign fördjupning"/>
    <m/>
    <s v="LYLÄP"/>
    <m/>
    <s v="VT"/>
    <m/>
    <m/>
    <m/>
    <m/>
    <m/>
    <n v="50"/>
    <n v="15"/>
    <n v="2"/>
    <n v="0.500000004"/>
    <n v="1"/>
    <n v="0.500000004"/>
    <x v="2"/>
    <s v="Estetiska ämnen               "/>
    <s v="Hum"/>
    <s v="VAL-projektet"/>
    <n v="19097"/>
    <n v="16075"/>
    <n v="17586.000140688"/>
    <n v="5900"/>
    <n v="2950.0000236000001"/>
    <n v="20536.000164288002"/>
    <n v="0"/>
    <n v="1"/>
    <n v="0"/>
    <n v="0"/>
    <n v="0"/>
    <n v="0"/>
    <n v="0"/>
    <n v="0"/>
    <n v="0"/>
    <n v="0"/>
    <n v="0"/>
    <n v="0"/>
  </r>
  <r>
    <s v="1EN050"/>
    <s v="Engelska A1, nätkurs"/>
    <m/>
    <s v="LYLÄP"/>
    <s v="H20"/>
    <s v="HT"/>
    <s v="H201-20"/>
    <m/>
    <m/>
    <m/>
    <m/>
    <n v="50"/>
    <n v="15"/>
    <n v="1"/>
    <n v="0.25"/>
    <n v="1"/>
    <n v="0.25"/>
    <x v="0"/>
    <s v="Inst för språkstudier"/>
    <s v="Hum"/>
    <s v="VAL-projektet"/>
    <n v="19097"/>
    <n v="16075"/>
    <n v="8793"/>
    <n v="5900"/>
    <n v="1475"/>
    <n v="10268"/>
    <n v="0"/>
    <n v="1"/>
    <n v="0"/>
    <n v="0"/>
    <n v="0"/>
    <n v="0"/>
    <n v="0"/>
    <n v="0"/>
    <n v="0"/>
    <n v="0"/>
    <n v="0"/>
    <n v="0"/>
  </r>
  <r>
    <s v="1EN052"/>
    <s v="Engelska B1, nätkurs"/>
    <m/>
    <s v="LYLÄP"/>
    <s v="V19"/>
    <s v="HT"/>
    <s v="H201-20"/>
    <m/>
    <m/>
    <m/>
    <m/>
    <n v="50"/>
    <n v="15"/>
    <n v="1"/>
    <n v="0.25"/>
    <n v="1"/>
    <n v="0.25"/>
    <x v="0"/>
    <s v="Inst för språkstudier"/>
    <s v="Hum"/>
    <s v="VAL-projektet"/>
    <n v="19097"/>
    <n v="16075"/>
    <n v="8793"/>
    <n v="5900"/>
    <n v="1475"/>
    <n v="10268"/>
    <n v="0"/>
    <n v="1"/>
    <n v="0"/>
    <n v="0"/>
    <n v="0"/>
    <n v="0"/>
    <n v="0"/>
    <n v="0"/>
    <n v="0"/>
    <n v="0"/>
    <n v="0"/>
    <n v="0"/>
  </r>
  <r>
    <s v="1EN079"/>
    <s v="Engelska C"/>
    <m/>
    <s v="LYLÄP"/>
    <s v="H20"/>
    <s v="HT"/>
    <s v="H201-20"/>
    <m/>
    <m/>
    <m/>
    <m/>
    <n v="50"/>
    <n v="15"/>
    <n v="2"/>
    <n v="0.5"/>
    <n v="1"/>
    <n v="0.5"/>
    <x v="0"/>
    <s v="Inst för språkstudier"/>
    <s v="Hum"/>
    <s v="VAL-projektet"/>
    <n v="19097"/>
    <n v="16075"/>
    <n v="17586"/>
    <n v="5900"/>
    <n v="2950"/>
    <n v="20536"/>
    <n v="0"/>
    <n v="1"/>
    <n v="0"/>
    <n v="0"/>
    <n v="0"/>
    <n v="0"/>
    <n v="0"/>
    <n v="0"/>
    <n v="0"/>
    <n v="0"/>
    <n v="0"/>
    <n v="0"/>
  </r>
  <r>
    <s v="1HI000"/>
    <s v="Historia A"/>
    <m/>
    <s v="LYLÄP"/>
    <s v="H20"/>
    <s v="HT"/>
    <s v="H201-20:V211-20"/>
    <m/>
    <m/>
    <m/>
    <m/>
    <n v="50"/>
    <n v="15"/>
    <n v="1"/>
    <n v="0.25"/>
    <n v="1"/>
    <n v="0.25"/>
    <x v="7"/>
    <s v="Inst för ide- o samhällsstudier"/>
    <s v="Hum"/>
    <s v="VAL-projektet"/>
    <n v="19097"/>
    <n v="16075"/>
    <n v="8793"/>
    <n v="5900"/>
    <n v="1475"/>
    <n v="10268"/>
    <n v="0"/>
    <n v="1"/>
    <n v="0"/>
    <n v="0"/>
    <n v="0"/>
    <n v="0"/>
    <n v="0"/>
    <n v="0"/>
    <n v="0"/>
    <n v="0"/>
    <n v="0"/>
    <n v="0"/>
  </r>
  <r>
    <s v="1HI008"/>
    <s v="Historia C"/>
    <m/>
    <s v="LYLÄP"/>
    <s v="H20"/>
    <s v="HT"/>
    <s v="H201-20:V211-20"/>
    <m/>
    <m/>
    <m/>
    <m/>
    <n v="50"/>
    <n v="15"/>
    <n v="1"/>
    <n v="0.25"/>
    <n v="1"/>
    <n v="0.25"/>
    <x v="7"/>
    <s v="Inst för ide- o samhällsstudier"/>
    <s v="Hum"/>
    <s v="VAL-projektet"/>
    <n v="19097"/>
    <n v="16075"/>
    <n v="8793"/>
    <n v="5900"/>
    <n v="1475"/>
    <n v="10268"/>
    <n v="0"/>
    <n v="1"/>
    <n v="0"/>
    <n v="0"/>
    <n v="0"/>
    <n v="0"/>
    <n v="0"/>
    <n v="0"/>
    <n v="0"/>
    <n v="0"/>
    <n v="0"/>
    <n v="0"/>
  </r>
  <r>
    <s v="1HI073"/>
    <s v="Historia B"/>
    <m/>
    <s v="LYLÄP"/>
    <s v="H20"/>
    <s v="HT"/>
    <s v="H201-20:V211-20"/>
    <m/>
    <m/>
    <m/>
    <m/>
    <n v="50"/>
    <n v="15"/>
    <n v="1"/>
    <n v="0.25"/>
    <n v="1"/>
    <n v="0.25"/>
    <x v="7"/>
    <s v="Inst för ide- o samhällsstudier"/>
    <s v="Hum"/>
    <s v="VAL-projektet"/>
    <n v="19097"/>
    <n v="16075"/>
    <n v="8793"/>
    <n v="5900"/>
    <n v="1475"/>
    <n v="10268"/>
    <n v="0"/>
    <n v="1"/>
    <n v="0"/>
    <n v="0"/>
    <n v="0"/>
    <n v="0"/>
    <n v="0"/>
    <n v="0"/>
    <n v="0"/>
    <n v="0"/>
    <n v="0"/>
    <n v="0"/>
  </r>
  <r>
    <s v="1NS072"/>
    <s v="Svenska språket A: Praktisk retorik"/>
    <m/>
    <s v="LYLÄP"/>
    <s v="H20"/>
    <s v="HT"/>
    <s v="H201-20"/>
    <m/>
    <m/>
    <m/>
    <m/>
    <n v="25"/>
    <n v="7.5"/>
    <n v="1"/>
    <n v="0.125"/>
    <n v="1"/>
    <n v="0.125"/>
    <x v="0"/>
    <s v="Inst för språkstudier"/>
    <s v="Hum"/>
    <s v="VAL-projektet"/>
    <n v="19097"/>
    <n v="16075"/>
    <n v="4396.5"/>
    <n v="5900"/>
    <n v="737.5"/>
    <n v="5134"/>
    <n v="0"/>
    <n v="1"/>
    <n v="0"/>
    <n v="0"/>
    <n v="0"/>
    <n v="0"/>
    <n v="0"/>
    <n v="0"/>
    <n v="0"/>
    <n v="0"/>
    <n v="0"/>
    <n v="0"/>
  </r>
  <r>
    <s v="1NS082"/>
    <s v="Skandinavistik med inriktning mot nordliga studier - synkrona perspektiv"/>
    <m/>
    <s v="LYLÄP"/>
    <s v="H20"/>
    <s v="HT"/>
    <s v="H201-10"/>
    <m/>
    <m/>
    <m/>
    <m/>
    <n v="50"/>
    <n v="7.5"/>
    <n v="1"/>
    <n v="0.125"/>
    <n v="1"/>
    <n v="0.125"/>
    <x v="0"/>
    <s v="Inst för språkstudier"/>
    <s v="Hum"/>
    <s v="VAL-projektet"/>
    <n v="19097"/>
    <n v="16075"/>
    <n v="4396.5"/>
    <n v="5900"/>
    <n v="737.5"/>
    <n v="5134"/>
    <n v="0"/>
    <n v="1"/>
    <n v="0"/>
    <n v="0"/>
    <n v="0"/>
    <n v="0"/>
    <n v="0"/>
    <n v="0"/>
    <n v="0"/>
    <n v="0"/>
    <n v="0"/>
    <n v="0"/>
  </r>
  <r>
    <s v="1RE042"/>
    <s v="Religionsvetenskap: grundkurs A1"/>
    <m/>
    <s v="LYLÄP"/>
    <s v="V20"/>
    <s v="HT"/>
    <s v="H201-20"/>
    <m/>
    <m/>
    <m/>
    <m/>
    <n v="100"/>
    <n v="30"/>
    <n v="1"/>
    <n v="0.5"/>
    <n v="1"/>
    <n v="0.5"/>
    <x v="7"/>
    <s v="Inst för ide- o samhällsstudier"/>
    <s v="Hum"/>
    <s v="VAL-projektet"/>
    <n v="19097"/>
    <n v="16075"/>
    <n v="17586"/>
    <n v="5900"/>
    <n v="2950"/>
    <n v="20536"/>
    <n v="0"/>
    <n v="1"/>
    <n v="0"/>
    <n v="0"/>
    <n v="0"/>
    <n v="0"/>
    <n v="0"/>
    <n v="0"/>
    <n v="0"/>
    <n v="0"/>
    <n v="0"/>
    <n v="0"/>
  </r>
  <r>
    <s v="1SP021"/>
    <s v="Spanska C, Lingvistik, litteratur och språkfärdighet"/>
    <m/>
    <s v="LYLÄP"/>
    <s v="H20"/>
    <s v="HT"/>
    <s v="H201-20"/>
    <m/>
    <m/>
    <m/>
    <m/>
    <n v="50"/>
    <n v="15"/>
    <n v="1"/>
    <n v="0.25"/>
    <n v="1"/>
    <n v="0.25"/>
    <x v="0"/>
    <s v="Inst för språkstudier"/>
    <s v="Hum"/>
    <s v="VAL-projektet"/>
    <n v="19097"/>
    <n v="16075"/>
    <n v="8793"/>
    <n v="5900"/>
    <n v="1475"/>
    <n v="10268"/>
    <n v="0"/>
    <n v="1"/>
    <n v="0"/>
    <n v="0"/>
    <n v="0"/>
    <n v="0"/>
    <n v="0"/>
    <n v="0"/>
    <n v="0"/>
    <n v="0"/>
    <n v="0"/>
    <n v="0"/>
  </r>
  <r>
    <s v="6DI018"/>
    <s v="Bedömning - grundnivå (VAL, ULV)"/>
    <m/>
    <s v="LYLÄP"/>
    <s v="H18"/>
    <s v="HT"/>
    <s v="H2011-20"/>
    <m/>
    <m/>
    <m/>
    <m/>
    <n v="50"/>
    <n v="7.5"/>
    <n v="2"/>
    <n v="0.25"/>
    <n v="1"/>
    <n v="0.25"/>
    <x v="1"/>
    <s v="NMD"/>
    <s v="TekNat"/>
    <s v="VAL-projektet"/>
    <n v="24104"/>
    <n v="31432"/>
    <n v="13884"/>
    <n v="5900"/>
    <n v="1475"/>
    <n v="15359"/>
    <n v="0"/>
    <n v="0"/>
    <n v="0"/>
    <n v="1"/>
    <n v="0"/>
    <n v="0"/>
    <n v="0"/>
    <n v="0"/>
    <n v="0"/>
    <n v="0"/>
    <n v="0"/>
    <n v="0"/>
  </r>
  <r>
    <s v="6DI018"/>
    <s v="Bedömning - grundnivå (VAL, ULV)"/>
    <m/>
    <s v="LYLÄP"/>
    <s v="H19"/>
    <s v="HT"/>
    <s v="H2011-20"/>
    <m/>
    <m/>
    <m/>
    <m/>
    <n v="50"/>
    <n v="7.5"/>
    <n v="2"/>
    <n v="0.25"/>
    <n v="1"/>
    <n v="0.25"/>
    <x v="1"/>
    <s v="NMD"/>
    <s v="TekNat"/>
    <s v="VAL-projektet"/>
    <n v="24104"/>
    <n v="31432"/>
    <n v="13884"/>
    <n v="5900"/>
    <n v="1475"/>
    <n v="15359"/>
    <n v="0"/>
    <n v="0"/>
    <n v="0"/>
    <n v="1"/>
    <n v="0"/>
    <n v="0"/>
    <n v="0"/>
    <n v="0"/>
    <n v="0"/>
    <n v="0"/>
    <n v="0"/>
    <n v="0"/>
  </r>
  <r>
    <s v="6DI018"/>
    <s v="Bedömning - grundnivå (VAL, ULV)"/>
    <m/>
    <s v="LYLÄP"/>
    <s v="H20"/>
    <s v="HT"/>
    <s v="H2011-20"/>
    <m/>
    <m/>
    <m/>
    <m/>
    <n v="50"/>
    <n v="7.5"/>
    <n v="25"/>
    <n v="3.125"/>
    <n v="1"/>
    <n v="3.125"/>
    <x v="1"/>
    <s v="NMD"/>
    <s v="TekNat"/>
    <s v="VAL-projektet"/>
    <n v="24104"/>
    <n v="31432"/>
    <n v="173550"/>
    <n v="5900"/>
    <n v="18437.5"/>
    <n v="191987.5"/>
    <n v="0"/>
    <n v="0"/>
    <n v="0"/>
    <n v="1"/>
    <n v="0"/>
    <n v="0"/>
    <n v="0"/>
    <n v="0"/>
    <n v="0"/>
    <n v="0"/>
    <n v="0"/>
    <n v="0"/>
  </r>
  <r>
    <s v="6DI018"/>
    <s v="Bedömning - grundnivå (VAL, ULV)"/>
    <m/>
    <s v="LYLÄP"/>
    <s v="V18"/>
    <s v="HT"/>
    <s v="H2011-20"/>
    <m/>
    <m/>
    <m/>
    <m/>
    <n v="50"/>
    <n v="7.5"/>
    <n v="4"/>
    <n v="0.5"/>
    <n v="1"/>
    <n v="0.5"/>
    <x v="1"/>
    <s v="NMD"/>
    <s v="TekNat"/>
    <s v="VAL-projektet"/>
    <n v="24104"/>
    <n v="31432"/>
    <n v="27768"/>
    <n v="5900"/>
    <n v="2950"/>
    <n v="30718"/>
    <n v="0"/>
    <n v="0"/>
    <n v="0"/>
    <n v="1"/>
    <n v="0"/>
    <n v="0"/>
    <n v="0"/>
    <n v="0"/>
    <n v="0"/>
    <n v="0"/>
    <n v="0"/>
    <n v="0"/>
  </r>
  <r>
    <s v="6DI018"/>
    <s v="Bedömning - grundnivå (VAL, ULV)"/>
    <m/>
    <s v="LYLÄP"/>
    <s v="V19"/>
    <s v="HT"/>
    <s v="H2011-20"/>
    <m/>
    <m/>
    <m/>
    <m/>
    <n v="50"/>
    <n v="7.5"/>
    <n v="4"/>
    <n v="0.5"/>
    <n v="1"/>
    <n v="0.5"/>
    <x v="1"/>
    <s v="NMD"/>
    <s v="TekNat"/>
    <s v="VAL-projektet"/>
    <n v="24104"/>
    <n v="31432"/>
    <n v="27768"/>
    <n v="5900"/>
    <n v="2950"/>
    <n v="30718"/>
    <n v="0"/>
    <n v="0"/>
    <n v="0"/>
    <n v="1"/>
    <n v="0"/>
    <n v="0"/>
    <n v="0"/>
    <n v="0"/>
    <n v="0"/>
    <n v="0"/>
    <n v="0"/>
    <n v="0"/>
  </r>
  <r>
    <s v="6DI018"/>
    <s v="Bedömning - grundnivå (VAL, ULV)"/>
    <m/>
    <s v="LYLÄP"/>
    <s v="V20"/>
    <s v="HT"/>
    <s v="H2011-20"/>
    <m/>
    <m/>
    <m/>
    <m/>
    <n v="50"/>
    <n v="7.5"/>
    <n v="5"/>
    <n v="0.625"/>
    <n v="1"/>
    <n v="0.625"/>
    <x v="1"/>
    <s v="NMD"/>
    <s v="TekNat"/>
    <s v="VAL-projektet"/>
    <n v="24104"/>
    <n v="31432"/>
    <n v="34710"/>
    <n v="5900"/>
    <n v="3687.5"/>
    <n v="38397.5"/>
    <n v="0"/>
    <n v="0"/>
    <n v="0"/>
    <n v="1"/>
    <n v="0"/>
    <n v="0"/>
    <n v="0"/>
    <n v="0"/>
    <n v="0"/>
    <n v="0"/>
    <n v="0"/>
    <n v="0"/>
  </r>
  <r>
    <s v="6DI020"/>
    <s v="Vetenskap och kunskap - grundnivå (VAL, ULV)"/>
    <m/>
    <s v="LYLÄP"/>
    <s v="H18"/>
    <s v="HT"/>
    <s v="H2011-20"/>
    <m/>
    <m/>
    <m/>
    <m/>
    <n v="50"/>
    <n v="7.5"/>
    <n v="4"/>
    <n v="0.5"/>
    <n v="1"/>
    <n v="0.5"/>
    <x v="1"/>
    <s v="NMD"/>
    <s v="TekNat"/>
    <s v="VAL-projektet"/>
    <n v="24104"/>
    <n v="31432"/>
    <n v="27768"/>
    <n v="5900"/>
    <n v="2950"/>
    <n v="30718"/>
    <n v="0"/>
    <n v="0"/>
    <n v="0"/>
    <n v="1"/>
    <n v="0"/>
    <n v="0"/>
    <n v="0"/>
    <n v="0"/>
    <n v="0"/>
    <n v="0"/>
    <n v="0"/>
    <n v="0"/>
  </r>
  <r>
    <s v="6DI020"/>
    <s v="Vetenskap och kunskap - grundnivå (VAL, ULV)"/>
    <m/>
    <s v="LYLÄP"/>
    <s v="H19"/>
    <s v="HT"/>
    <s v="H2011-20"/>
    <m/>
    <m/>
    <m/>
    <m/>
    <n v="50"/>
    <n v="7.5"/>
    <n v="6"/>
    <n v="0.75"/>
    <n v="1"/>
    <n v="0.75"/>
    <x v="1"/>
    <s v="NMD"/>
    <s v="TekNat"/>
    <s v="VAL-projektet"/>
    <n v="24104"/>
    <n v="31432"/>
    <n v="41652"/>
    <n v="5900"/>
    <n v="4425"/>
    <n v="46077"/>
    <n v="0"/>
    <n v="0"/>
    <n v="0"/>
    <n v="1"/>
    <n v="0"/>
    <n v="0"/>
    <n v="0"/>
    <n v="0"/>
    <n v="0"/>
    <n v="0"/>
    <n v="0"/>
    <n v="0"/>
  </r>
  <r>
    <s v="6DI020"/>
    <s v="Vetenskap och kunskap - grundnivå (VAL, ULV)"/>
    <m/>
    <s v="LYLÄP"/>
    <s v="H20"/>
    <s v="HT"/>
    <s v="H2011-20"/>
    <m/>
    <m/>
    <m/>
    <m/>
    <n v="50"/>
    <n v="7.5"/>
    <n v="16"/>
    <n v="2"/>
    <n v="1"/>
    <n v="2"/>
    <x v="1"/>
    <s v="NMD"/>
    <s v="TekNat"/>
    <s v="VAL-projektet"/>
    <n v="24104"/>
    <n v="31432"/>
    <n v="111072"/>
    <n v="5900"/>
    <n v="11800"/>
    <n v="122872"/>
    <n v="0"/>
    <n v="0"/>
    <n v="0"/>
    <n v="1"/>
    <n v="0"/>
    <n v="0"/>
    <n v="0"/>
    <n v="0"/>
    <n v="0"/>
    <n v="0"/>
    <n v="0"/>
    <n v="0"/>
  </r>
  <r>
    <s v="6DI020"/>
    <s v="Vetenskap och kunskap - grundnivå (VAL, ULV)"/>
    <m/>
    <s v="LYLÄP"/>
    <s v="V18"/>
    <s v="HT"/>
    <s v="H2011-20"/>
    <m/>
    <m/>
    <m/>
    <m/>
    <n v="50"/>
    <n v="7.5"/>
    <n v="1"/>
    <n v="0.125"/>
    <n v="1"/>
    <n v="0.125"/>
    <x v="1"/>
    <s v="NMD"/>
    <s v="TekNat"/>
    <s v="VAL-projektet"/>
    <n v="24104"/>
    <n v="31432"/>
    <n v="6942"/>
    <n v="5900"/>
    <n v="737.5"/>
    <n v="7679.5"/>
    <n v="0"/>
    <n v="0"/>
    <n v="0"/>
    <n v="1"/>
    <n v="0"/>
    <n v="0"/>
    <n v="0"/>
    <n v="0"/>
    <n v="0"/>
    <n v="0"/>
    <n v="0"/>
    <n v="0"/>
  </r>
  <r>
    <s v="6DI020"/>
    <s v="Vetenskap och kunskap - grundnivå (VAL, ULV)"/>
    <m/>
    <s v="LYLÄP"/>
    <s v="V19"/>
    <s v="HT"/>
    <s v="H2011-20"/>
    <m/>
    <m/>
    <m/>
    <m/>
    <n v="50"/>
    <n v="7.5"/>
    <n v="1"/>
    <n v="0.125"/>
    <n v="1"/>
    <n v="0.125"/>
    <x v="1"/>
    <s v="NMD"/>
    <s v="TekNat"/>
    <s v="VAL-projektet"/>
    <n v="24104"/>
    <n v="31432"/>
    <n v="6942"/>
    <n v="5900"/>
    <n v="737.5"/>
    <n v="7679.5"/>
    <n v="0"/>
    <n v="0"/>
    <n v="0"/>
    <n v="1"/>
    <n v="0"/>
    <n v="0"/>
    <n v="0"/>
    <n v="0"/>
    <n v="0"/>
    <n v="0"/>
    <n v="0"/>
    <n v="0"/>
  </r>
  <r>
    <s v="6DI020"/>
    <s v="Vetenskap och kunskap - grundnivå (VAL, ULV)"/>
    <m/>
    <s v="LYLÄP"/>
    <s v="V20"/>
    <s v="HT"/>
    <s v="H2011-20"/>
    <m/>
    <m/>
    <m/>
    <m/>
    <n v="50"/>
    <n v="7.5"/>
    <n v="4"/>
    <n v="0.5"/>
    <n v="1"/>
    <n v="0.5"/>
    <x v="1"/>
    <s v="NMD"/>
    <s v="TekNat"/>
    <s v="VAL-projektet"/>
    <n v="24104"/>
    <n v="31432"/>
    <n v="27768"/>
    <n v="5900"/>
    <n v="2950"/>
    <n v="30718"/>
    <n v="0"/>
    <n v="0"/>
    <n v="0"/>
    <n v="1"/>
    <n v="0"/>
    <n v="0"/>
    <n v="0"/>
    <n v="0"/>
    <n v="0"/>
    <n v="0"/>
    <n v="0"/>
    <n v="0"/>
  </r>
  <r>
    <s v="6ES067"/>
    <s v="Ämnesdidaktik i skolpraktiken, del 2"/>
    <m/>
    <s v="LYLÄP"/>
    <s v="H19"/>
    <s v="HT"/>
    <s v="H201-20"/>
    <m/>
    <m/>
    <m/>
    <m/>
    <n v="50"/>
    <n v="15"/>
    <n v="9"/>
    <n v="2.25"/>
    <n v="1"/>
    <n v="2.25"/>
    <x v="2"/>
    <s v="Estetiska ämnen               "/>
    <s v="Hum"/>
    <s v="VAL-projektet"/>
    <n v="24740"/>
    <n v="27503"/>
    <n v="117546.75"/>
    <n v="3500"/>
    <n v="7875"/>
    <n v="125421.75"/>
    <n v="0"/>
    <n v="0"/>
    <n v="0"/>
    <n v="0"/>
    <n v="0"/>
    <n v="0"/>
    <n v="0"/>
    <n v="0"/>
    <n v="1"/>
    <n v="0"/>
    <n v="0"/>
    <n v="0"/>
  </r>
  <r>
    <s v="6ES067"/>
    <s v="Ämnesdidaktik i skolpraktiken, del 2"/>
    <m/>
    <s v="LYLÄP"/>
    <s v="H20"/>
    <s v="HT"/>
    <s v="H201-20"/>
    <m/>
    <m/>
    <m/>
    <m/>
    <n v="50"/>
    <n v="15"/>
    <n v="16"/>
    <n v="4"/>
    <n v="1"/>
    <n v="4"/>
    <x v="2"/>
    <s v="Estetiska ämnen               "/>
    <s v="Hum"/>
    <s v="VAL-projektet"/>
    <n v="24740"/>
    <n v="27503"/>
    <n v="208972"/>
    <n v="3500"/>
    <n v="14000"/>
    <n v="222972"/>
    <n v="0"/>
    <n v="0"/>
    <n v="0"/>
    <n v="0"/>
    <n v="0"/>
    <n v="0"/>
    <n v="0"/>
    <n v="0"/>
    <n v="1"/>
    <n v="0"/>
    <n v="0"/>
    <n v="0"/>
  </r>
  <r>
    <s v="6ES067"/>
    <s v="Ämnesdidaktik i skolpraktiken, del 2"/>
    <m/>
    <s v="LYLÄP"/>
    <s v="V20"/>
    <s v="HT"/>
    <s v="H201-20"/>
    <m/>
    <m/>
    <m/>
    <m/>
    <n v="50"/>
    <n v="15"/>
    <n v="3"/>
    <n v="0.75"/>
    <n v="1"/>
    <n v="0.75"/>
    <x v="2"/>
    <s v="Estetiska ämnen               "/>
    <s v="Hum"/>
    <s v="VAL-projektet"/>
    <n v="24740"/>
    <n v="27503"/>
    <n v="39182.25"/>
    <n v="3500"/>
    <n v="2625"/>
    <n v="41807.25"/>
    <n v="0"/>
    <n v="0"/>
    <n v="0"/>
    <n v="0"/>
    <n v="0"/>
    <n v="0"/>
    <n v="0"/>
    <n v="0"/>
    <n v="1"/>
    <n v="0"/>
    <n v="0"/>
    <n v="0"/>
  </r>
  <r>
    <s v="6ES082"/>
    <s v="Bild 1 distans"/>
    <m/>
    <s v="LYLÄP"/>
    <s v="H20"/>
    <s v="HT"/>
    <s v="H201-20:V211-20"/>
    <m/>
    <m/>
    <m/>
    <m/>
    <n v="50"/>
    <n v="15"/>
    <n v="1"/>
    <n v="0.25"/>
    <n v="1"/>
    <n v="0.25"/>
    <x v="2"/>
    <s v="Estetiska ämnen               "/>
    <s v="Hum"/>
    <s v="VAL-projektet"/>
    <n v="48895"/>
    <n v="58097"/>
    <n v="26748"/>
    <n v="70300"/>
    <n v="17575"/>
    <n v="44323"/>
    <n v="1"/>
    <n v="0"/>
    <n v="0"/>
    <n v="0"/>
    <n v="0"/>
    <n v="0"/>
    <n v="0"/>
    <n v="0"/>
    <n v="0"/>
    <n v="0"/>
    <n v="0"/>
    <n v="0"/>
  </r>
  <r>
    <s v="6ES082"/>
    <s v="Bild 1 distans"/>
    <m/>
    <s v="LYLÄP"/>
    <s v="V20"/>
    <s v="HT"/>
    <s v="H201-20:V211-20"/>
    <m/>
    <m/>
    <m/>
    <m/>
    <n v="50"/>
    <n v="15"/>
    <n v="1"/>
    <n v="0.25"/>
    <n v="1"/>
    <n v="0.25"/>
    <x v="2"/>
    <s v="Estetiska ämnen               "/>
    <s v="Hum"/>
    <s v="VAL-projektet"/>
    <n v="48895"/>
    <n v="58097"/>
    <n v="26748"/>
    <n v="70300"/>
    <n v="17575"/>
    <n v="44323"/>
    <n v="1"/>
    <n v="0"/>
    <n v="0"/>
    <n v="0"/>
    <n v="0"/>
    <n v="0"/>
    <n v="0"/>
    <n v="0"/>
    <n v="0"/>
    <n v="0"/>
    <n v="0"/>
    <n v="0"/>
  </r>
  <r>
    <s v="6ES090"/>
    <s v="Bild 2a, distans"/>
    <m/>
    <s v="LYLÄP"/>
    <s v="H20"/>
    <s v="HT"/>
    <s v="H201-20"/>
    <m/>
    <m/>
    <m/>
    <m/>
    <n v="50"/>
    <n v="15"/>
    <n v="3"/>
    <n v="0.75"/>
    <n v="1"/>
    <n v="0.75"/>
    <x v="2"/>
    <s v="Estetiska ämnen               "/>
    <s v="Hum"/>
    <s v="VAL-projektet"/>
    <n v="48895"/>
    <n v="58097"/>
    <n v="80244"/>
    <n v="70300"/>
    <n v="52725"/>
    <n v="132969"/>
    <n v="1"/>
    <n v="0"/>
    <n v="0"/>
    <n v="0"/>
    <n v="0"/>
    <n v="0"/>
    <n v="0"/>
    <n v="0"/>
    <n v="0"/>
    <n v="0"/>
    <n v="0"/>
    <n v="0"/>
  </r>
  <r>
    <s v="6ES090"/>
    <s v="Bild 2a, distans"/>
    <m/>
    <s v="LYLÄP"/>
    <s v="V20"/>
    <s v="HT"/>
    <s v="H201-20"/>
    <m/>
    <m/>
    <m/>
    <m/>
    <n v="50"/>
    <n v="15"/>
    <n v="1"/>
    <n v="0.25"/>
    <n v="1"/>
    <n v="0.25"/>
    <x v="2"/>
    <s v="Estetiska ämnen               "/>
    <s v="Hum"/>
    <s v="VAL-projektet"/>
    <n v="48895"/>
    <n v="58097"/>
    <n v="26748"/>
    <n v="70300"/>
    <n v="17575"/>
    <n v="44323"/>
    <n v="1"/>
    <n v="0"/>
    <n v="0"/>
    <n v="0"/>
    <n v="0"/>
    <n v="0"/>
    <n v="0"/>
    <n v="0"/>
    <n v="0"/>
    <n v="0"/>
    <n v="0"/>
    <n v="0"/>
  </r>
  <r>
    <s v="6ES107"/>
    <s v="Skapande bild, distans"/>
    <m/>
    <s v="LYLÄP"/>
    <s v="H20"/>
    <s v="HT"/>
    <s v="H201-20:V211-20"/>
    <m/>
    <m/>
    <m/>
    <m/>
    <n v="50"/>
    <n v="15"/>
    <n v="3"/>
    <n v="0.75"/>
    <n v="1"/>
    <n v="0.75"/>
    <x v="2"/>
    <s v="Estetiska ämnen               "/>
    <s v="Hum"/>
    <s v="VAL-projektet"/>
    <n v="41445.5"/>
    <n v="47591.5"/>
    <n v="66777.75"/>
    <n v="54200"/>
    <n v="40650"/>
    <n v="107427.75"/>
    <n v="0.75"/>
    <n v="0.25"/>
    <n v="0"/>
    <n v="0"/>
    <n v="0"/>
    <n v="0"/>
    <n v="0"/>
    <n v="0"/>
    <n v="0"/>
    <n v="0"/>
    <n v="0"/>
    <n v="0"/>
  </r>
  <r>
    <s v="6KN023"/>
    <s v="Hem- och konsumentkunskap A"/>
    <m/>
    <s v="LYLÄP"/>
    <s v="H20"/>
    <s v="HT"/>
    <s v="H201-20:V211-20"/>
    <m/>
    <m/>
    <m/>
    <m/>
    <n v="50"/>
    <n v="15"/>
    <n v="3"/>
    <n v="0.75"/>
    <n v="1"/>
    <n v="0.75"/>
    <x v="4"/>
    <s v="Kostvetenskap                 "/>
    <s v="Sam"/>
    <s v="VAL-projektet"/>
    <n v="19863"/>
    <n v="35472"/>
    <n v="41501.25"/>
    <n v="22200"/>
    <n v="16650"/>
    <n v="58151.25"/>
    <n v="0"/>
    <n v="0"/>
    <n v="0"/>
    <n v="0"/>
    <n v="0"/>
    <n v="1"/>
    <n v="0"/>
    <n v="0"/>
    <n v="0"/>
    <n v="0"/>
    <n v="0"/>
    <n v="0"/>
  </r>
  <r>
    <s v="6KN025"/>
    <s v="Hem- och konsumentkunskap B"/>
    <m/>
    <s v="LYLÄP"/>
    <s v="H20"/>
    <s v="HT"/>
    <s v="H201-20"/>
    <m/>
    <m/>
    <m/>
    <m/>
    <n v="100"/>
    <n v="30"/>
    <n v="2"/>
    <n v="1"/>
    <n v="1"/>
    <n v="1"/>
    <x v="4"/>
    <s v="Kostvetenskap                 "/>
    <s v="Sam"/>
    <s v="VAL-projektet"/>
    <n v="19863"/>
    <n v="35472"/>
    <n v="55335"/>
    <n v="22200"/>
    <n v="22200"/>
    <n v="77535"/>
    <n v="0"/>
    <n v="0"/>
    <n v="0"/>
    <n v="0"/>
    <n v="0"/>
    <n v="1"/>
    <n v="0"/>
    <n v="0"/>
    <n v="0"/>
    <n v="0"/>
    <n v="0"/>
    <n v="0"/>
  </r>
  <r>
    <s v="6KN025"/>
    <s v="Hem- och konsumentkunskap B"/>
    <m/>
    <s v="LYLÄP"/>
    <s v="V20"/>
    <s v="HT"/>
    <s v="H201-20"/>
    <m/>
    <m/>
    <m/>
    <m/>
    <n v="100"/>
    <n v="30"/>
    <n v="1"/>
    <n v="0.5"/>
    <n v="1"/>
    <n v="0.5"/>
    <x v="4"/>
    <s v="Kostvetenskap                 "/>
    <s v="Sam"/>
    <s v="VAL-projektet"/>
    <n v="19863"/>
    <n v="35472"/>
    <n v="27667.5"/>
    <n v="22200"/>
    <n v="11100"/>
    <n v="38767.5"/>
    <n v="0"/>
    <n v="0"/>
    <n v="0"/>
    <n v="0"/>
    <n v="0"/>
    <n v="1"/>
    <n v="0"/>
    <n v="0"/>
    <n v="0"/>
    <n v="0"/>
    <n v="0"/>
    <n v="0"/>
  </r>
  <r>
    <s v="6KN026"/>
    <s v="Hem- och konsumentkunskap B15"/>
    <m/>
    <s v="LYLÄP"/>
    <s v="H20"/>
    <s v="HT"/>
    <s v="H201-10"/>
    <m/>
    <m/>
    <m/>
    <m/>
    <n v="100"/>
    <n v="15"/>
    <n v="1"/>
    <n v="0.25"/>
    <n v="1"/>
    <n v="0.25"/>
    <x v="4"/>
    <s v="Kostvetenskap                 "/>
    <s v="Sam"/>
    <s v="VAL-projektet"/>
    <n v="19863"/>
    <n v="35472"/>
    <n v="13833.75"/>
    <n v="22200"/>
    <n v="5550"/>
    <n v="19383.75"/>
    <n v="0"/>
    <n v="0"/>
    <n v="0"/>
    <n v="0"/>
    <n v="0"/>
    <n v="1"/>
    <n v="0"/>
    <n v="0"/>
    <n v="0"/>
    <n v="0"/>
    <n v="0"/>
    <n v="0"/>
  </r>
  <r>
    <s v="6LÄ057"/>
    <s v="Läs - och skrivutveckling, kurs 3"/>
    <m/>
    <s v="LYLÄP"/>
    <s v="H20"/>
    <s v="HT"/>
    <s v="H201-20"/>
    <m/>
    <m/>
    <m/>
    <m/>
    <n v="50"/>
    <n v="15"/>
    <n v="10"/>
    <n v="2.5"/>
    <n v="1"/>
    <n v="2.5"/>
    <x v="0"/>
    <s v="Inst för språkstudier"/>
    <s v="Hum"/>
    <s v="VAL-projektet"/>
    <n v="19097"/>
    <n v="16075"/>
    <n v="87930"/>
    <n v="5900"/>
    <n v="14750"/>
    <n v="102680"/>
    <n v="0"/>
    <n v="1"/>
    <n v="0"/>
    <n v="0"/>
    <n v="0"/>
    <n v="0"/>
    <n v="0"/>
    <n v="0"/>
    <n v="0"/>
    <n v="0"/>
    <n v="0"/>
    <n v="0"/>
  </r>
  <r>
    <s v="6LÄ057"/>
    <s v="Läs - och skrivutveckling, kurs 3"/>
    <m/>
    <s v="LYLÄP"/>
    <s v="V20"/>
    <s v="HT"/>
    <s v="H201-20"/>
    <m/>
    <m/>
    <m/>
    <m/>
    <n v="50"/>
    <n v="15"/>
    <n v="2"/>
    <n v="0.5"/>
    <n v="1"/>
    <n v="0.5"/>
    <x v="0"/>
    <s v="Inst för språkstudier"/>
    <s v="Hum"/>
    <s v="VAL-projektet"/>
    <n v="19097"/>
    <n v="16075"/>
    <n v="17586"/>
    <n v="5900"/>
    <n v="2950"/>
    <n v="20536"/>
    <n v="0"/>
    <n v="1"/>
    <n v="0"/>
    <n v="0"/>
    <n v="0"/>
    <n v="0"/>
    <n v="0"/>
    <n v="0"/>
    <n v="0"/>
    <n v="0"/>
    <n v="0"/>
    <n v="0"/>
  </r>
  <r>
    <s v="6MN040"/>
    <s v="Matematik 3 för förskoleklass och grundskolans årskurs 1-3"/>
    <m/>
    <s v="LYLÄP"/>
    <s v="H20"/>
    <s v="HT"/>
    <s v="H206-10"/>
    <m/>
    <m/>
    <m/>
    <m/>
    <n v="100"/>
    <n v="7.5"/>
    <n v="1"/>
    <n v="0.125"/>
    <n v="1"/>
    <n v="0.125"/>
    <x v="1"/>
    <s v="NMD"/>
    <s v="TekNat"/>
    <s v="VAL-projektet"/>
    <n v="19863"/>
    <n v="35472"/>
    <n v="6916.875"/>
    <n v="22200"/>
    <n v="2775"/>
    <n v="9691.875"/>
    <n v="0"/>
    <n v="0"/>
    <n v="0"/>
    <n v="0"/>
    <n v="0"/>
    <n v="1"/>
    <n v="0"/>
    <n v="0"/>
    <n v="0"/>
    <n v="0"/>
    <n v="0"/>
    <n v="0"/>
  </r>
  <r>
    <s v="6MN047"/>
    <s v="Matematik 2 för lärande och undervisning för förskoleklass och grundskolans årskurs 1-3"/>
    <m/>
    <s v="LYLÄP"/>
    <s v="H20"/>
    <s v="HT"/>
    <s v="H201-20"/>
    <m/>
    <m/>
    <m/>
    <m/>
    <n v="50"/>
    <n v="15"/>
    <n v="8"/>
    <n v="2"/>
    <n v="1"/>
    <n v="2"/>
    <x v="1"/>
    <s v="NMD"/>
    <s v="TekNat"/>
    <s v="VAL-projektet"/>
    <n v="19863"/>
    <n v="35472"/>
    <n v="110670"/>
    <n v="22200"/>
    <n v="44400"/>
    <n v="155070"/>
    <n v="0"/>
    <n v="0"/>
    <n v="0"/>
    <n v="0"/>
    <n v="0"/>
    <n v="1"/>
    <n v="0"/>
    <n v="0"/>
    <n v="0"/>
    <n v="0"/>
    <n v="0"/>
    <n v="0"/>
  </r>
  <r>
    <s v="6MN048"/>
    <s v="Matematik 2 för lärande och undervisning för grundskolans årskurs 4-6"/>
    <m/>
    <s v="LYLÄP"/>
    <s v="H20"/>
    <s v="HT"/>
    <s v="H201-20"/>
    <m/>
    <m/>
    <m/>
    <m/>
    <n v="50"/>
    <n v="15"/>
    <n v="3"/>
    <n v="0.75"/>
    <n v="1"/>
    <n v="0.75"/>
    <x v="1"/>
    <s v="NMD"/>
    <s v="TekNat"/>
    <s v="VAL-projektet"/>
    <n v="19863"/>
    <n v="35472"/>
    <n v="41501.25"/>
    <n v="22200"/>
    <n v="16650"/>
    <n v="58151.25"/>
    <n v="0"/>
    <n v="0"/>
    <n v="0"/>
    <n v="0"/>
    <n v="0"/>
    <n v="1"/>
    <n v="0"/>
    <n v="0"/>
    <n v="0"/>
    <n v="0"/>
    <n v="0"/>
    <n v="0"/>
  </r>
  <r>
    <s v="6MU059"/>
    <s v="Musik 2, distans"/>
    <m/>
    <s v="LYLÄP"/>
    <s v="H20"/>
    <s v="HT"/>
    <s v="H201-20:V211-20"/>
    <m/>
    <m/>
    <m/>
    <m/>
    <n v="50"/>
    <n v="15"/>
    <n v="2"/>
    <n v="0.5"/>
    <n v="1"/>
    <n v="0.5"/>
    <x v="2"/>
    <s v="Estetiska ämnen               "/>
    <s v="Hum"/>
    <s v="VAL-projektet"/>
    <n v="31433"/>
    <n v="65018"/>
    <n v="48225.5"/>
    <n v="71400"/>
    <n v="35700"/>
    <n v="83925.5"/>
    <n v="0"/>
    <n v="0"/>
    <n v="0"/>
    <n v="0"/>
    <n v="1"/>
    <n v="0"/>
    <n v="0"/>
    <n v="0"/>
    <n v="0"/>
    <n v="0"/>
    <n v="0"/>
    <n v="0"/>
  </r>
  <r>
    <s v="6MU060"/>
    <s v="Musik 3, distans"/>
    <m/>
    <s v="LYLÄP"/>
    <s v="H18"/>
    <s v="HT"/>
    <s v="H201-20:V211-20"/>
    <m/>
    <m/>
    <m/>
    <m/>
    <n v="50"/>
    <n v="15"/>
    <n v="1"/>
    <n v="0.25"/>
    <n v="1"/>
    <n v="0.25"/>
    <x v="2"/>
    <s v="Estetiska ämnen               "/>
    <s v="Hum"/>
    <s v="VAL-projektet"/>
    <n v="31433"/>
    <n v="65018"/>
    <n v="24112.75"/>
    <n v="71400"/>
    <n v="17850"/>
    <n v="41962.75"/>
    <n v="0"/>
    <n v="0"/>
    <n v="0"/>
    <n v="0"/>
    <n v="1"/>
    <n v="0"/>
    <n v="0"/>
    <n v="0"/>
    <n v="0"/>
    <n v="0"/>
    <n v="0"/>
    <n v="0"/>
  </r>
  <r>
    <s v="6MU060"/>
    <s v="Musik 3, distans"/>
    <m/>
    <s v="LYLÄP"/>
    <s v="H19"/>
    <s v="HT"/>
    <s v="H201-20:V211-20"/>
    <m/>
    <m/>
    <m/>
    <m/>
    <n v="50"/>
    <n v="15"/>
    <n v="1"/>
    <n v="0.25"/>
    <n v="1"/>
    <n v="0.25"/>
    <x v="2"/>
    <s v="Estetiska ämnen               "/>
    <s v="Hum"/>
    <s v="VAL-projektet"/>
    <n v="31433"/>
    <n v="65018"/>
    <n v="24112.75"/>
    <n v="71400"/>
    <n v="17850"/>
    <n v="41962.75"/>
    <n v="0"/>
    <n v="0"/>
    <n v="0"/>
    <n v="0"/>
    <n v="1"/>
    <n v="0"/>
    <n v="0"/>
    <n v="0"/>
    <n v="0"/>
    <n v="0"/>
    <n v="0"/>
    <n v="0"/>
  </r>
  <r>
    <s v="6MU060"/>
    <s v="Musik 3, distans"/>
    <m/>
    <s v="LYLÄP"/>
    <s v="H20"/>
    <s v="HT"/>
    <s v="H201-20:V211-20"/>
    <m/>
    <m/>
    <m/>
    <m/>
    <n v="50"/>
    <n v="15"/>
    <n v="5"/>
    <n v="1.25"/>
    <n v="1"/>
    <n v="1.25"/>
    <x v="2"/>
    <s v="Estetiska ämnen               "/>
    <s v="Hum"/>
    <s v="VAL-projektet"/>
    <n v="31433"/>
    <n v="65018"/>
    <n v="120563.75"/>
    <n v="71400"/>
    <n v="89250"/>
    <n v="209813.75"/>
    <n v="0"/>
    <n v="0"/>
    <n v="0"/>
    <n v="0"/>
    <n v="1"/>
    <n v="0"/>
    <n v="0"/>
    <n v="0"/>
    <n v="0"/>
    <n v="0"/>
    <n v="0"/>
    <n v="0"/>
  </r>
  <r>
    <s v="6MU060"/>
    <s v="Musik 3, distans"/>
    <m/>
    <s v="LYLÄP"/>
    <s v="V18"/>
    <s v="HT"/>
    <s v="H201-20:V211-20"/>
    <m/>
    <m/>
    <m/>
    <m/>
    <n v="50"/>
    <n v="15"/>
    <n v="1"/>
    <n v="0.25"/>
    <n v="1"/>
    <n v="0.25"/>
    <x v="2"/>
    <s v="Estetiska ämnen               "/>
    <s v="Hum"/>
    <s v="VAL-projektet"/>
    <n v="31433"/>
    <n v="65018"/>
    <n v="24112.75"/>
    <n v="71400"/>
    <n v="17850"/>
    <n v="41962.75"/>
    <n v="0"/>
    <n v="0"/>
    <n v="0"/>
    <n v="0"/>
    <n v="1"/>
    <n v="0"/>
    <n v="0"/>
    <n v="0"/>
    <n v="0"/>
    <n v="0"/>
    <n v="0"/>
    <n v="0"/>
  </r>
  <r>
    <s v="6PE111"/>
    <s v="Grupprocesser och samverkan ur ett fritidshemsperspektiv"/>
    <m/>
    <s v="LYLÄP"/>
    <s v="H20"/>
    <s v="HT"/>
    <s v="H201-5"/>
    <m/>
    <m/>
    <m/>
    <m/>
    <n v="100"/>
    <n v="7.5"/>
    <n v="1"/>
    <n v="0.125"/>
    <n v="1"/>
    <n v="0.125"/>
    <x v="6"/>
    <s v="TUV "/>
    <s v="Sam"/>
    <s v="VAL-projektet"/>
    <n v="19097"/>
    <n v="16075"/>
    <n v="4396.5"/>
    <n v="5900"/>
    <n v="737.5"/>
    <n v="5134"/>
    <n v="0"/>
    <n v="0"/>
    <n v="0"/>
    <n v="0"/>
    <n v="0"/>
    <n v="0"/>
    <n v="1"/>
    <n v="0"/>
    <n v="0"/>
    <n v="0"/>
    <n v="0"/>
    <n v="0"/>
  </r>
  <r>
    <s v="6PE176"/>
    <s v="Utbildningens villkor och samhälleliga funktion - grundnivå (VAL, ULV)"/>
    <m/>
    <s v="LYLÄP"/>
    <s v="H18"/>
    <s v="HT"/>
    <s v="H201-10"/>
    <m/>
    <m/>
    <m/>
    <m/>
    <n v="50"/>
    <n v="7.5"/>
    <n v="2"/>
    <n v="0.25"/>
    <n v="1"/>
    <n v="0.25"/>
    <x v="6"/>
    <s v="TUV "/>
    <s v="Sam"/>
    <s v="VAL-projektet"/>
    <n v="24104"/>
    <n v="31432"/>
    <n v="13884"/>
    <n v="5900"/>
    <n v="1475"/>
    <n v="15359"/>
    <n v="0"/>
    <n v="0"/>
    <n v="0"/>
    <n v="1"/>
    <n v="0"/>
    <n v="0"/>
    <n v="0"/>
    <n v="0"/>
    <n v="0"/>
    <n v="0"/>
    <n v="0"/>
    <n v="0"/>
  </r>
  <r>
    <s v="6PE176"/>
    <s v="Utbildningens villkor och samhälleliga funktion - grundnivå (VAL, ULV)"/>
    <m/>
    <s v="LYLÄP"/>
    <s v="H19"/>
    <s v="HT"/>
    <s v="H201-10"/>
    <m/>
    <m/>
    <m/>
    <m/>
    <n v="50"/>
    <n v="7.5"/>
    <n v="3"/>
    <n v="0.375"/>
    <n v="1"/>
    <n v="0.375"/>
    <x v="6"/>
    <s v="TUV "/>
    <s v="Sam"/>
    <s v="VAL-projektet"/>
    <n v="24104"/>
    <n v="31432"/>
    <n v="20826"/>
    <n v="5900"/>
    <n v="2212.5"/>
    <n v="23038.5"/>
    <n v="0"/>
    <n v="0"/>
    <n v="0"/>
    <n v="1"/>
    <n v="0"/>
    <n v="0"/>
    <n v="0"/>
    <n v="0"/>
    <n v="0"/>
    <n v="0"/>
    <n v="0"/>
    <n v="0"/>
  </r>
  <r>
    <s v="6PE176"/>
    <s v="Utbildningens villkor och samhälleliga funktion - grundnivå (VAL, ULV)"/>
    <m/>
    <s v="LYLÄP"/>
    <s v="H20"/>
    <s v="HT"/>
    <s v="H201-10"/>
    <m/>
    <m/>
    <m/>
    <m/>
    <n v="50"/>
    <n v="7.5"/>
    <n v="19"/>
    <n v="2.375"/>
    <n v="1"/>
    <n v="2.375"/>
    <x v="6"/>
    <s v="TUV "/>
    <s v="Sam"/>
    <s v="VAL-projektet"/>
    <n v="24104"/>
    <n v="31432"/>
    <n v="131898"/>
    <n v="5900"/>
    <n v="14012.5"/>
    <n v="145910.5"/>
    <n v="0"/>
    <n v="0"/>
    <n v="0"/>
    <n v="1"/>
    <n v="0"/>
    <n v="0"/>
    <n v="0"/>
    <n v="0"/>
    <n v="0"/>
    <n v="0"/>
    <n v="0"/>
    <n v="0"/>
  </r>
  <r>
    <s v="6PE176"/>
    <s v="Utbildningens villkor och samhälleliga funktion - grundnivå (VAL, ULV)"/>
    <m/>
    <s v="LYLÄP"/>
    <s v="V20"/>
    <s v="HT"/>
    <s v="H201-10"/>
    <m/>
    <m/>
    <m/>
    <m/>
    <n v="50"/>
    <n v="7.5"/>
    <n v="1"/>
    <n v="0.125"/>
    <n v="1"/>
    <n v="0.125"/>
    <x v="6"/>
    <s v="TUV "/>
    <s v="Sam"/>
    <s v="VAL-projektet"/>
    <n v="24104"/>
    <n v="31432"/>
    <n v="6942"/>
    <n v="5900"/>
    <n v="737.5"/>
    <n v="7679.5"/>
    <n v="0"/>
    <n v="0"/>
    <n v="0"/>
    <n v="1"/>
    <n v="0"/>
    <n v="0"/>
    <n v="0"/>
    <n v="0"/>
    <n v="0"/>
    <n v="0"/>
    <n v="0"/>
    <n v="0"/>
  </r>
  <r>
    <s v="6PE177"/>
    <s v="Specialpedagogik, sociala relationer och kommunikation - grundnivå (VAL, ULV)"/>
    <m/>
    <s v="LYLÄP"/>
    <s v="H18"/>
    <s v="HT"/>
    <s v="H201-10"/>
    <m/>
    <m/>
    <m/>
    <m/>
    <n v="50"/>
    <n v="7.5"/>
    <n v="1"/>
    <n v="0.125"/>
    <n v="1"/>
    <n v="0.125"/>
    <x v="6"/>
    <s v="TUV "/>
    <s v="Sam"/>
    <s v="VAL-projektet"/>
    <n v="24104"/>
    <n v="31432"/>
    <n v="6942"/>
    <n v="5900"/>
    <n v="737.5"/>
    <n v="7679.5"/>
    <n v="0"/>
    <n v="0"/>
    <n v="0"/>
    <n v="1"/>
    <n v="0"/>
    <n v="0"/>
    <n v="0"/>
    <n v="0"/>
    <n v="0"/>
    <n v="0"/>
    <n v="0"/>
    <n v="0"/>
  </r>
  <r>
    <s v="6PE177"/>
    <s v="Specialpedagogik, sociala relationer och kommunikation - grundnivå (VAL, ULV)"/>
    <m/>
    <s v="LYLÄP"/>
    <s v="H19"/>
    <s v="HT"/>
    <s v="H201-10"/>
    <m/>
    <m/>
    <m/>
    <m/>
    <n v="50"/>
    <n v="7.5"/>
    <n v="1"/>
    <n v="0.125"/>
    <n v="1"/>
    <n v="0.125"/>
    <x v="6"/>
    <s v="TUV "/>
    <s v="Sam"/>
    <s v="VAL-projektet"/>
    <n v="24104"/>
    <n v="31432"/>
    <n v="6942"/>
    <n v="5900"/>
    <n v="737.5"/>
    <n v="7679.5"/>
    <n v="0"/>
    <n v="0"/>
    <n v="0"/>
    <n v="1"/>
    <n v="0"/>
    <n v="0"/>
    <n v="0"/>
    <n v="0"/>
    <n v="0"/>
    <n v="0"/>
    <n v="0"/>
    <n v="0"/>
  </r>
  <r>
    <s v="6PE177"/>
    <s v="Specialpedagogik, sociala relationer och kommunikation - grundnivå (VAL, ULV)"/>
    <m/>
    <s v="LYLÄP"/>
    <s v="H20"/>
    <s v="HT"/>
    <s v="H201-10"/>
    <m/>
    <m/>
    <m/>
    <m/>
    <n v="50"/>
    <n v="7.5"/>
    <n v="15"/>
    <n v="1.875"/>
    <n v="1"/>
    <n v="1.875"/>
    <x v="6"/>
    <s v="TUV "/>
    <s v="Sam"/>
    <s v="VAL-projektet"/>
    <n v="24104"/>
    <n v="31432"/>
    <n v="104130"/>
    <n v="5900"/>
    <n v="11062.5"/>
    <n v="115192.5"/>
    <n v="0"/>
    <n v="0"/>
    <n v="0"/>
    <n v="1"/>
    <n v="0"/>
    <n v="0"/>
    <n v="0"/>
    <n v="0"/>
    <n v="0"/>
    <n v="0"/>
    <n v="0"/>
    <n v="0"/>
  </r>
  <r>
    <s v="6PE177"/>
    <s v="Specialpedagogik, sociala relationer och kommunikation - grundnivå (VAL, ULV)"/>
    <m/>
    <s v="LYLÄP"/>
    <s v="V18"/>
    <s v="HT"/>
    <s v="H201-10"/>
    <m/>
    <m/>
    <m/>
    <m/>
    <n v="50"/>
    <n v="7.5"/>
    <n v="4"/>
    <n v="0.5"/>
    <n v="1"/>
    <n v="0.5"/>
    <x v="6"/>
    <s v="TUV "/>
    <s v="Sam"/>
    <s v="VAL-projektet"/>
    <n v="24104"/>
    <n v="31432"/>
    <n v="27768"/>
    <n v="5900"/>
    <n v="2950"/>
    <n v="30718"/>
    <n v="0"/>
    <n v="0"/>
    <n v="0"/>
    <n v="1"/>
    <n v="0"/>
    <n v="0"/>
    <n v="0"/>
    <n v="0"/>
    <n v="0"/>
    <n v="0"/>
    <n v="0"/>
    <n v="0"/>
  </r>
  <r>
    <s v="6PE177"/>
    <s v="Specialpedagogik, sociala relationer och kommunikation - grundnivå (VAL, ULV)"/>
    <m/>
    <s v="LYLÄP"/>
    <s v="V19"/>
    <s v="HT"/>
    <s v="H201-10"/>
    <m/>
    <m/>
    <m/>
    <m/>
    <n v="50"/>
    <n v="7.5"/>
    <n v="2"/>
    <n v="0.25"/>
    <n v="1"/>
    <n v="0.25"/>
    <x v="6"/>
    <s v="TUV "/>
    <s v="Sam"/>
    <s v="VAL-projektet"/>
    <n v="24104"/>
    <n v="31432"/>
    <n v="13884"/>
    <n v="5900"/>
    <n v="1475"/>
    <n v="15359"/>
    <n v="0"/>
    <n v="0"/>
    <n v="0"/>
    <n v="1"/>
    <n v="0"/>
    <n v="0"/>
    <n v="0"/>
    <n v="0"/>
    <n v="0"/>
    <n v="0"/>
    <n v="0"/>
    <n v="0"/>
  </r>
  <r>
    <s v="6PE177"/>
    <s v="Specialpedagogik, sociala relationer och kommunikation - grundnivå (VAL, ULV)"/>
    <m/>
    <s v="LYLÄP"/>
    <s v="V20"/>
    <s v="HT"/>
    <s v="H201-10"/>
    <m/>
    <m/>
    <m/>
    <m/>
    <n v="50"/>
    <n v="7.5"/>
    <n v="4"/>
    <n v="0.5"/>
    <n v="1"/>
    <n v="0.5"/>
    <x v="6"/>
    <s v="TUV "/>
    <s v="Sam"/>
    <s v="VAL-projektet"/>
    <n v="24104"/>
    <n v="31432"/>
    <n v="27768"/>
    <n v="5900"/>
    <n v="2950"/>
    <n v="30718"/>
    <n v="0"/>
    <n v="0"/>
    <n v="0"/>
    <n v="1"/>
    <n v="0"/>
    <n v="0"/>
    <n v="0"/>
    <n v="0"/>
    <n v="0"/>
    <n v="0"/>
    <n v="0"/>
    <n v="0"/>
  </r>
  <r>
    <s v="6PE179"/>
    <s v="Uppdrag, ledarskap och undervisning - grundnivå (VAL, ULV)"/>
    <m/>
    <s v="LYLÄP"/>
    <s v="H18"/>
    <s v="HT"/>
    <s v="H2011-20"/>
    <m/>
    <m/>
    <m/>
    <m/>
    <n v="50"/>
    <n v="7.5"/>
    <n v="2"/>
    <n v="0.25"/>
    <n v="1"/>
    <n v="0.25"/>
    <x v="3"/>
    <s v="Pedagogik                     "/>
    <s v="Sam"/>
    <s v="VAL-projektet"/>
    <n v="24104"/>
    <n v="31432"/>
    <n v="13884"/>
    <n v="5900"/>
    <n v="1475"/>
    <n v="15359"/>
    <n v="0"/>
    <n v="0"/>
    <n v="0"/>
    <n v="1"/>
    <n v="0"/>
    <n v="0"/>
    <n v="0"/>
    <n v="0"/>
    <n v="0"/>
    <n v="0"/>
    <n v="0"/>
    <n v="0"/>
  </r>
  <r>
    <s v="6PE179"/>
    <s v="Uppdrag, ledarskap och undervisning - grundnivå (VAL, ULV)"/>
    <m/>
    <s v="LYLÄP"/>
    <s v="H19"/>
    <s v="HT"/>
    <s v="H2011-20"/>
    <m/>
    <m/>
    <m/>
    <m/>
    <n v="50"/>
    <n v="7.5"/>
    <n v="3"/>
    <n v="0.375"/>
    <n v="1"/>
    <n v="0.375"/>
    <x v="3"/>
    <s v="Pedagogik                     "/>
    <s v="Sam"/>
    <s v="VAL-projektet"/>
    <n v="24104"/>
    <n v="31432"/>
    <n v="20826"/>
    <n v="5900"/>
    <n v="2212.5"/>
    <n v="23038.5"/>
    <n v="0"/>
    <n v="0"/>
    <n v="0"/>
    <n v="1"/>
    <n v="0"/>
    <n v="0"/>
    <n v="0"/>
    <n v="0"/>
    <n v="0"/>
    <n v="0"/>
    <n v="0"/>
    <n v="0"/>
  </r>
  <r>
    <s v="6PE179"/>
    <s v="Uppdrag, ledarskap och undervisning - grundnivå (VAL, ULV)"/>
    <m/>
    <s v="LYLÄP"/>
    <s v="H20"/>
    <s v="HT"/>
    <s v="H2011-20"/>
    <m/>
    <m/>
    <m/>
    <m/>
    <n v="50"/>
    <n v="7.5"/>
    <n v="20"/>
    <n v="2.5"/>
    <n v="1"/>
    <n v="2.5"/>
    <x v="3"/>
    <s v="Pedagogik                     "/>
    <s v="Sam"/>
    <s v="VAL-projektet"/>
    <n v="24104"/>
    <n v="31432"/>
    <n v="138840"/>
    <n v="5900"/>
    <n v="14750"/>
    <n v="153590"/>
    <n v="0"/>
    <n v="0"/>
    <n v="0"/>
    <n v="1"/>
    <n v="0"/>
    <n v="0"/>
    <n v="0"/>
    <n v="0"/>
    <n v="0"/>
    <n v="0"/>
    <n v="0"/>
    <n v="0"/>
  </r>
  <r>
    <s v="6PE179"/>
    <s v="Uppdrag, ledarskap och undervisning - grundnivå (VAL, ULV)"/>
    <m/>
    <s v="LYLÄP"/>
    <s v="V20"/>
    <s v="HT"/>
    <s v="H2011-20"/>
    <m/>
    <m/>
    <m/>
    <m/>
    <n v="50"/>
    <n v="7.5"/>
    <n v="2"/>
    <n v="0.25"/>
    <n v="1"/>
    <n v="0.25"/>
    <x v="3"/>
    <s v="Pedagogik                     "/>
    <s v="Sam"/>
    <s v="VAL-projektet"/>
    <n v="24104"/>
    <n v="31432"/>
    <n v="13884"/>
    <n v="5900"/>
    <n v="1475"/>
    <n v="15359"/>
    <n v="0"/>
    <n v="0"/>
    <n v="0"/>
    <n v="1"/>
    <n v="0"/>
    <n v="0"/>
    <n v="0"/>
    <n v="0"/>
    <n v="0"/>
    <n v="0"/>
    <n v="0"/>
    <n v="0"/>
  </r>
  <r>
    <s v="6PE180"/>
    <s v="Undervisning och lärande - läroplansteori och didaktik - grundnivå (VAL, ULV)"/>
    <m/>
    <s v="LYLÄP"/>
    <s v="H18"/>
    <s v="HT"/>
    <s v="H201-10"/>
    <m/>
    <m/>
    <m/>
    <m/>
    <n v="50"/>
    <n v="7.5"/>
    <n v="2"/>
    <n v="0.25"/>
    <n v="1"/>
    <n v="0.25"/>
    <x v="3"/>
    <s v="Pedagogik                     "/>
    <s v="Sam"/>
    <s v="VAL-projektet"/>
    <n v="24104"/>
    <n v="31432"/>
    <n v="13884"/>
    <n v="5900"/>
    <n v="1475"/>
    <n v="15359"/>
    <n v="0"/>
    <n v="0"/>
    <n v="0"/>
    <n v="1"/>
    <n v="0"/>
    <n v="0"/>
    <n v="0"/>
    <n v="0"/>
    <n v="0"/>
    <n v="0"/>
    <n v="0"/>
    <n v="0"/>
  </r>
  <r>
    <s v="6PE180"/>
    <s v="Undervisning och lärande - läroplansteori och didaktik - grundnivå (VAL, ULV)"/>
    <m/>
    <s v="LYLÄP"/>
    <s v="H19"/>
    <s v="HT"/>
    <s v="H201-10"/>
    <m/>
    <m/>
    <m/>
    <m/>
    <n v="50"/>
    <n v="7.5"/>
    <n v="6"/>
    <n v="0.75"/>
    <n v="1"/>
    <n v="0.75"/>
    <x v="3"/>
    <s v="Pedagogik                     "/>
    <s v="Sam"/>
    <s v="VAL-projektet"/>
    <n v="24104"/>
    <n v="31432"/>
    <n v="41652"/>
    <n v="5900"/>
    <n v="4425"/>
    <n v="46077"/>
    <n v="0"/>
    <n v="0"/>
    <n v="0"/>
    <n v="1"/>
    <n v="0"/>
    <n v="0"/>
    <n v="0"/>
    <n v="0"/>
    <n v="0"/>
    <n v="0"/>
    <n v="0"/>
    <n v="0"/>
  </r>
  <r>
    <s v="6PE180"/>
    <s v="Undervisning och lärande - läroplansteori och didaktik - grundnivå (VAL, ULV)"/>
    <m/>
    <s v="LYLÄP"/>
    <s v="H20"/>
    <s v="HT"/>
    <s v="H201-10"/>
    <m/>
    <m/>
    <m/>
    <m/>
    <n v="50"/>
    <n v="7.5"/>
    <n v="21"/>
    <n v="2.625"/>
    <n v="1"/>
    <n v="2.625"/>
    <x v="3"/>
    <s v="Pedagogik                     "/>
    <s v="Sam"/>
    <s v="VAL-projektet"/>
    <n v="24104"/>
    <n v="31432"/>
    <n v="145782"/>
    <n v="5900"/>
    <n v="15487.5"/>
    <n v="161269.5"/>
    <n v="0"/>
    <n v="0"/>
    <n v="0"/>
    <n v="1"/>
    <n v="0"/>
    <n v="0"/>
    <n v="0"/>
    <n v="0"/>
    <n v="0"/>
    <n v="0"/>
    <n v="0"/>
    <n v="0"/>
  </r>
  <r>
    <s v="6PE180"/>
    <s v="Undervisning och lärande - läroplansteori och didaktik - grundnivå (VAL, ULV)"/>
    <m/>
    <s v="LYLÄP"/>
    <s v="V18"/>
    <s v="HT"/>
    <s v="H201-10"/>
    <m/>
    <m/>
    <m/>
    <m/>
    <n v="50"/>
    <n v="7.5"/>
    <n v="2"/>
    <n v="0.25"/>
    <n v="1"/>
    <n v="0.25"/>
    <x v="3"/>
    <s v="Pedagogik                     "/>
    <s v="Sam"/>
    <s v="VAL-projektet"/>
    <n v="24104"/>
    <n v="31432"/>
    <n v="13884"/>
    <n v="5900"/>
    <n v="1475"/>
    <n v="15359"/>
    <n v="0"/>
    <n v="0"/>
    <n v="0"/>
    <n v="1"/>
    <n v="0"/>
    <n v="0"/>
    <n v="0"/>
    <n v="0"/>
    <n v="0"/>
    <n v="0"/>
    <n v="0"/>
    <n v="0"/>
  </r>
  <r>
    <s v="6PE180"/>
    <s v="Undervisning och lärande - läroplansteori och didaktik - grundnivå (VAL, ULV)"/>
    <m/>
    <s v="LYLÄP"/>
    <s v="V19"/>
    <s v="HT"/>
    <s v="H201-10"/>
    <m/>
    <m/>
    <m/>
    <m/>
    <n v="50"/>
    <n v="7.5"/>
    <n v="1"/>
    <n v="0.125"/>
    <n v="1"/>
    <n v="0.125"/>
    <x v="3"/>
    <s v="Pedagogik                     "/>
    <s v="Sam"/>
    <s v="VAL-projektet"/>
    <n v="24104"/>
    <n v="31432"/>
    <n v="6942"/>
    <n v="5900"/>
    <n v="737.5"/>
    <n v="7679.5"/>
    <n v="0"/>
    <n v="0"/>
    <n v="0"/>
    <n v="1"/>
    <n v="0"/>
    <n v="0"/>
    <n v="0"/>
    <n v="0"/>
    <n v="0"/>
    <n v="0"/>
    <n v="0"/>
    <n v="0"/>
  </r>
  <r>
    <s v="6PE180"/>
    <s v="Undervisning och lärande - läroplansteori och didaktik - grundnivå (VAL, ULV)"/>
    <m/>
    <s v="LYLÄP"/>
    <s v="V20"/>
    <s v="HT"/>
    <s v="H201-10"/>
    <m/>
    <m/>
    <m/>
    <m/>
    <n v="50"/>
    <n v="7.5"/>
    <n v="2"/>
    <n v="0.25"/>
    <n v="1"/>
    <n v="0.25"/>
    <x v="3"/>
    <s v="Pedagogik                     "/>
    <s v="Sam"/>
    <s v="VAL-projektet"/>
    <n v="24104"/>
    <n v="31432"/>
    <n v="13884"/>
    <n v="5900"/>
    <n v="1475"/>
    <n v="15359"/>
    <n v="0"/>
    <n v="0"/>
    <n v="0"/>
    <n v="1"/>
    <n v="0"/>
    <n v="0"/>
    <n v="0"/>
    <n v="0"/>
    <n v="0"/>
    <n v="0"/>
    <n v="0"/>
    <n v="0"/>
  </r>
  <r>
    <s v="6PE212"/>
    <s v="Examensarbete för grundlärarexamen med inriktning mot förskoleklass och grundskolans år 1-3"/>
    <m/>
    <s v="LYLÄP"/>
    <s v="H18"/>
    <s v="HT"/>
    <s v="H2016-20:V211-15"/>
    <m/>
    <m/>
    <m/>
    <m/>
    <n v="100"/>
    <n v="30"/>
    <n v="1"/>
    <n v="0.5"/>
    <n v="1"/>
    <n v="0.5"/>
    <x v="1"/>
    <s v="NMD"/>
    <s v="TekNat"/>
    <s v="VAL-projektet"/>
    <n v="19863"/>
    <n v="35472"/>
    <n v="27667.5"/>
    <n v="22200"/>
    <n v="11100"/>
    <n v="38767.5"/>
    <n v="0"/>
    <n v="0"/>
    <n v="0"/>
    <n v="0"/>
    <n v="0"/>
    <n v="1"/>
    <n v="0"/>
    <n v="0"/>
    <n v="0"/>
    <n v="0"/>
    <n v="0"/>
    <n v="0"/>
  </r>
  <r>
    <s v="6PE212"/>
    <s v="Examensarbete för grundlärarexamen med inriktning mot förskoleklass och grundskolans år 1-3"/>
    <m/>
    <s v="LYLÄP"/>
    <s v="H20"/>
    <s v="HT"/>
    <s v="H2016-20:V211-15"/>
    <m/>
    <m/>
    <m/>
    <m/>
    <n v="100"/>
    <n v="30"/>
    <n v="2"/>
    <n v="1"/>
    <n v="1"/>
    <n v="1"/>
    <x v="1"/>
    <s v="NMD"/>
    <s v="TekNat"/>
    <s v="VAL-projektet"/>
    <n v="19863"/>
    <n v="35472"/>
    <n v="55335"/>
    <n v="22200"/>
    <n v="22200"/>
    <n v="77535"/>
    <n v="0"/>
    <n v="0"/>
    <n v="0"/>
    <n v="0"/>
    <n v="0"/>
    <n v="1"/>
    <n v="0"/>
    <n v="0"/>
    <n v="0"/>
    <n v="0"/>
    <n v="0"/>
    <n v="0"/>
  </r>
  <r>
    <s v="6PE248"/>
    <s v="Examensarbete med ämnesdidaktisk inriktning (VAL, ULV)"/>
    <m/>
    <s v="LYLÄP"/>
    <s v="H17"/>
    <s v="HT"/>
    <s v="H201-20"/>
    <m/>
    <m/>
    <m/>
    <m/>
    <n v="50"/>
    <n v="15"/>
    <n v="1"/>
    <n v="0.25"/>
    <n v="1"/>
    <n v="0.25"/>
    <x v="6"/>
    <s v="TUV "/>
    <s v="Sam"/>
    <s v="VAL-projektet"/>
    <n v="24104"/>
    <n v="31432"/>
    <n v="13884"/>
    <n v="5900"/>
    <n v="1475"/>
    <n v="15359"/>
    <n v="0"/>
    <n v="0"/>
    <n v="0"/>
    <n v="1"/>
    <n v="0"/>
    <n v="0"/>
    <n v="0"/>
    <n v="0"/>
    <n v="0"/>
    <n v="0"/>
    <n v="0"/>
    <n v="0"/>
  </r>
  <r>
    <s v="6PE248"/>
    <s v="Examensarbete med ämnesdidaktisk inriktning (VAL, ULV)"/>
    <m/>
    <s v="LYLÄP"/>
    <s v="H18"/>
    <s v="HT"/>
    <s v="H201-20"/>
    <m/>
    <m/>
    <m/>
    <m/>
    <n v="50"/>
    <n v="15"/>
    <n v="3"/>
    <n v="0.75"/>
    <n v="1"/>
    <n v="0.75"/>
    <x v="6"/>
    <s v="TUV "/>
    <s v="Sam"/>
    <s v="VAL-projektet"/>
    <n v="24104"/>
    <n v="31432"/>
    <n v="41652"/>
    <n v="5900"/>
    <n v="4425"/>
    <n v="46077"/>
    <n v="0"/>
    <n v="0"/>
    <n v="0"/>
    <n v="1"/>
    <n v="0"/>
    <n v="0"/>
    <n v="0"/>
    <n v="0"/>
    <n v="0"/>
    <n v="0"/>
    <n v="0"/>
    <n v="0"/>
  </r>
  <r>
    <s v="6PE248"/>
    <s v="Examensarbete med ämnesdidaktisk inriktning (VAL, ULV)"/>
    <m/>
    <s v="LYLÄP"/>
    <s v="H19"/>
    <s v="HT"/>
    <s v="H201-20"/>
    <m/>
    <m/>
    <m/>
    <m/>
    <n v="50"/>
    <n v="15"/>
    <n v="1"/>
    <n v="0.25"/>
    <n v="1"/>
    <n v="0.25"/>
    <x v="6"/>
    <s v="TUV "/>
    <s v="Sam"/>
    <s v="VAL-projektet"/>
    <n v="24104"/>
    <n v="31432"/>
    <n v="13884"/>
    <n v="5900"/>
    <n v="1475"/>
    <n v="15359"/>
    <n v="0"/>
    <n v="0"/>
    <n v="0"/>
    <n v="1"/>
    <n v="0"/>
    <n v="0"/>
    <n v="0"/>
    <n v="0"/>
    <n v="0"/>
    <n v="0"/>
    <n v="0"/>
    <n v="0"/>
  </r>
  <r>
    <s v="6PE248"/>
    <s v="Examensarbete med ämnesdidaktisk inriktning (VAL, ULV)"/>
    <m/>
    <s v="LYLÄP"/>
    <s v="H20"/>
    <s v="HT"/>
    <s v="H201-20"/>
    <m/>
    <m/>
    <m/>
    <m/>
    <n v="50"/>
    <n v="15"/>
    <n v="16"/>
    <n v="4"/>
    <n v="1"/>
    <n v="4"/>
    <x v="6"/>
    <s v="TUV "/>
    <s v="Sam"/>
    <s v="VAL-projektet"/>
    <n v="24104"/>
    <n v="31432"/>
    <n v="222144"/>
    <n v="5900"/>
    <n v="23600"/>
    <n v="245744"/>
    <n v="0"/>
    <n v="0"/>
    <n v="0"/>
    <n v="1"/>
    <n v="0"/>
    <n v="0"/>
    <n v="0"/>
    <n v="0"/>
    <n v="0"/>
    <n v="0"/>
    <n v="0"/>
    <n v="0"/>
  </r>
  <r>
    <s v="6PE248"/>
    <s v="Examensarbete med ämnesdidaktisk inriktning (VAL, ULV)"/>
    <m/>
    <s v="LYLÄP"/>
    <s v="V16"/>
    <s v="HT"/>
    <s v="H201-20"/>
    <m/>
    <m/>
    <m/>
    <m/>
    <n v="50"/>
    <n v="15"/>
    <n v="1"/>
    <n v="0.25"/>
    <n v="1"/>
    <n v="0.25"/>
    <x v="6"/>
    <s v="TUV "/>
    <s v="Sam"/>
    <s v="VAL-projektet"/>
    <n v="24104"/>
    <n v="31432"/>
    <n v="13884"/>
    <n v="5900"/>
    <n v="1475"/>
    <n v="15359"/>
    <n v="0"/>
    <n v="0"/>
    <n v="0"/>
    <n v="1"/>
    <n v="0"/>
    <n v="0"/>
    <n v="0"/>
    <n v="0"/>
    <n v="0"/>
    <n v="0"/>
    <n v="0"/>
    <n v="0"/>
  </r>
  <r>
    <s v="6PE248"/>
    <s v="Examensarbete med ämnesdidaktisk inriktning (VAL, ULV)"/>
    <m/>
    <s v="LYLÄP"/>
    <s v="V19"/>
    <s v="HT"/>
    <s v="H201-20"/>
    <m/>
    <m/>
    <m/>
    <m/>
    <n v="50"/>
    <n v="15"/>
    <n v="1"/>
    <n v="0.25"/>
    <n v="1"/>
    <n v="0.25"/>
    <x v="6"/>
    <s v="TUV "/>
    <s v="Sam"/>
    <s v="VAL-projektet"/>
    <n v="24104"/>
    <n v="31432"/>
    <n v="13884"/>
    <n v="5900"/>
    <n v="1475"/>
    <n v="15359"/>
    <n v="0"/>
    <n v="0"/>
    <n v="0"/>
    <n v="1"/>
    <n v="0"/>
    <n v="0"/>
    <n v="0"/>
    <n v="0"/>
    <n v="0"/>
    <n v="0"/>
    <n v="0"/>
    <n v="0"/>
  </r>
  <r>
    <s v="6PE250"/>
    <s v="Elever i behov av extra anpassningar och särskilt stöd ur ett fritidshemsperspektiv"/>
    <m/>
    <s v="LYLÄP"/>
    <s v="H20"/>
    <s v="HT"/>
    <s v="H2016-20"/>
    <m/>
    <m/>
    <m/>
    <m/>
    <n v="100"/>
    <n v="7.5"/>
    <n v="1"/>
    <n v="0.125"/>
    <n v="1"/>
    <n v="0.125"/>
    <x v="6"/>
    <s v="TUV "/>
    <s v="Sam"/>
    <s v="VAL-projektet"/>
    <n v="19097"/>
    <n v="16075"/>
    <n v="4396.5"/>
    <n v="5900"/>
    <n v="737.5"/>
    <n v="5134"/>
    <n v="0"/>
    <n v="0"/>
    <n v="0"/>
    <n v="0"/>
    <n v="0"/>
    <n v="0"/>
    <n v="1"/>
    <n v="0"/>
    <n v="0"/>
    <n v="0"/>
    <n v="0"/>
    <n v="0"/>
  </r>
  <r>
    <s v="6SL021"/>
    <s v="Slöjd, Trä- och metall 2a, distans"/>
    <m/>
    <s v="LYLÄP"/>
    <s v="H20"/>
    <s v="HT"/>
    <s v="H201-20"/>
    <m/>
    <m/>
    <m/>
    <m/>
    <n v="50"/>
    <n v="15"/>
    <n v="2"/>
    <n v="0.5"/>
    <n v="1"/>
    <n v="0.5"/>
    <x v="2"/>
    <s v="Estetiska ämnen               "/>
    <s v="Hum"/>
    <s v="VAL-projektet"/>
    <n v="19863"/>
    <n v="35472"/>
    <n v="27667.5"/>
    <n v="22200"/>
    <n v="11100"/>
    <n v="38767.5"/>
    <n v="0"/>
    <n v="0"/>
    <n v="0"/>
    <n v="0"/>
    <n v="0"/>
    <n v="0"/>
    <n v="0"/>
    <n v="1"/>
    <n v="0"/>
    <n v="0"/>
    <n v="0"/>
    <n v="0"/>
  </r>
  <r>
    <s v="6SL035"/>
    <s v="Slöjd 1, Trä- och metall"/>
    <m/>
    <s v="LYLÄP"/>
    <s v="H20"/>
    <s v="HT"/>
    <s v="H201-20:V211-20"/>
    <m/>
    <m/>
    <m/>
    <m/>
    <n v="50"/>
    <n v="15"/>
    <n v="1"/>
    <n v="0.25"/>
    <n v="1"/>
    <n v="0.25"/>
    <x v="2"/>
    <s v="Estetiska ämnen               "/>
    <s v="Hum"/>
    <s v="VAL-projektet"/>
    <n v="19863"/>
    <n v="35472"/>
    <n v="13833.75"/>
    <n v="22200"/>
    <n v="5550"/>
    <n v="19383.75"/>
    <n v="0"/>
    <n v="0"/>
    <n v="0"/>
    <n v="0"/>
    <n v="0"/>
    <n v="0"/>
    <n v="0"/>
    <n v="1"/>
    <n v="0"/>
    <n v="0"/>
    <n v="0"/>
    <n v="0"/>
  </r>
  <r>
    <s v="6SL036"/>
    <s v="Form, färg, estetik och uttryck - Utveckla ditt formspråk i trä"/>
    <m/>
    <s v="LYLÄP"/>
    <s v="H19"/>
    <s v="HT"/>
    <s v="H201-20"/>
    <m/>
    <m/>
    <m/>
    <m/>
    <n v="50"/>
    <n v="15"/>
    <n v="1"/>
    <n v="0.25"/>
    <n v="1"/>
    <n v="0.25"/>
    <x v="2"/>
    <s v="Estetiska ämnen               "/>
    <s v="Hum"/>
    <s v="VAL-projektet"/>
    <n v="19863"/>
    <n v="35472"/>
    <n v="13833.75"/>
    <n v="22200"/>
    <n v="5550"/>
    <n v="19383.75"/>
    <n v="0"/>
    <n v="0"/>
    <n v="0"/>
    <n v="0"/>
    <n v="0"/>
    <n v="0"/>
    <n v="0"/>
    <n v="1"/>
    <n v="0"/>
    <n v="0"/>
    <n v="0"/>
    <n v="0"/>
  </r>
  <r>
    <s v="6SL036"/>
    <s v="Form, färg, estetik och uttryck - Utveckla ditt formspråk i trä"/>
    <m/>
    <s v="LYLÄP"/>
    <s v="H20"/>
    <s v="HT"/>
    <s v="H201-20"/>
    <m/>
    <m/>
    <m/>
    <m/>
    <n v="50"/>
    <n v="15"/>
    <n v="3"/>
    <n v="0.75"/>
    <n v="1"/>
    <n v="0.75"/>
    <x v="2"/>
    <s v="Estetiska ämnen               "/>
    <s v="Hum"/>
    <s v="VAL-projektet"/>
    <n v="19863"/>
    <n v="35472"/>
    <n v="41501.25"/>
    <n v="22200"/>
    <n v="16650"/>
    <n v="58151.25"/>
    <n v="0"/>
    <n v="0"/>
    <n v="0"/>
    <n v="0"/>
    <n v="0"/>
    <n v="0"/>
    <n v="0"/>
    <n v="1"/>
    <n v="0"/>
    <n v="0"/>
    <n v="0"/>
    <n v="0"/>
  </r>
  <r>
    <s v="6SL036"/>
    <s v="Form, färg, estetik och uttryck - Utveckla ditt formspråk i trä"/>
    <m/>
    <s v="LYLÄP"/>
    <s v="V20"/>
    <s v="HT"/>
    <s v="H201-20"/>
    <m/>
    <m/>
    <m/>
    <m/>
    <n v="50"/>
    <n v="15"/>
    <n v="2"/>
    <n v="0.5"/>
    <n v="1"/>
    <n v="0.5"/>
    <x v="2"/>
    <s v="Estetiska ämnen               "/>
    <s v="Hum"/>
    <s v="VAL-projektet"/>
    <n v="19863"/>
    <n v="35472"/>
    <n v="27667.5"/>
    <n v="22200"/>
    <n v="11100"/>
    <n v="38767.5"/>
    <n v="0"/>
    <n v="0"/>
    <n v="0"/>
    <n v="0"/>
    <n v="0"/>
    <n v="0"/>
    <n v="0"/>
    <n v="1"/>
    <n v="0"/>
    <n v="0"/>
    <n v="0"/>
    <n v="0"/>
  </r>
  <r>
    <s v="6TX016"/>
    <s v="Slöjd, textil 2a, distans"/>
    <m/>
    <s v="LYLÄP"/>
    <s v="H20"/>
    <s v="HT"/>
    <s v="H201-20"/>
    <m/>
    <m/>
    <m/>
    <m/>
    <n v="50"/>
    <n v="15"/>
    <n v="3"/>
    <n v="0.75"/>
    <n v="1"/>
    <n v="0.75"/>
    <x v="2"/>
    <s v="Estetiska ämnen               "/>
    <s v="Hum"/>
    <s v="VAL-projektet"/>
    <n v="19863"/>
    <n v="35472"/>
    <n v="41501.25"/>
    <n v="22200"/>
    <n v="16650"/>
    <n v="58151.25"/>
    <n v="0"/>
    <n v="0"/>
    <n v="0"/>
    <n v="0"/>
    <n v="0"/>
    <n v="0"/>
    <n v="0"/>
    <n v="1"/>
    <n v="0"/>
    <n v="0"/>
    <n v="0"/>
    <n v="0"/>
  </r>
  <r>
    <s v="6TX026"/>
    <s v="Slöjd 1, textil"/>
    <m/>
    <s v="LYLÄP"/>
    <s v="H20"/>
    <s v="HT"/>
    <s v="H201-20:V211-20"/>
    <m/>
    <m/>
    <m/>
    <m/>
    <n v="50"/>
    <n v="15"/>
    <n v="3"/>
    <n v="0.75"/>
    <n v="1"/>
    <n v="0.75"/>
    <x v="2"/>
    <s v="Estetiska ämnen               "/>
    <s v="Hum"/>
    <s v="VAL-projektet"/>
    <n v="19863"/>
    <n v="35472"/>
    <n v="41501.25"/>
    <n v="22200"/>
    <n v="16650"/>
    <n v="58151.25"/>
    <n v="0"/>
    <n v="0"/>
    <n v="0"/>
    <n v="0"/>
    <n v="0"/>
    <n v="0"/>
    <n v="0"/>
    <n v="1"/>
    <n v="0"/>
    <n v="0"/>
    <n v="0"/>
    <n v="0"/>
  </r>
  <r>
    <s v="6TX037"/>
    <s v="Kläddesign"/>
    <m/>
    <s v="LYLÄP"/>
    <s v="H20"/>
    <s v="HT"/>
    <s v="H201-20"/>
    <m/>
    <m/>
    <m/>
    <m/>
    <n v="50"/>
    <n v="15"/>
    <n v="1"/>
    <n v="0.25"/>
    <n v="1"/>
    <n v="0.25"/>
    <x v="2"/>
    <s v="Estetiska ämnen               "/>
    <s v="Hum"/>
    <s v="VAL-projektet"/>
    <n v="19863"/>
    <n v="35472"/>
    <n v="13833.75"/>
    <n v="22200"/>
    <n v="5550"/>
    <n v="19383.75"/>
    <n v="0"/>
    <n v="0"/>
    <n v="0"/>
    <n v="0"/>
    <n v="0"/>
    <n v="0"/>
    <n v="0"/>
    <n v="1"/>
    <n v="0"/>
    <n v="0"/>
    <n v="0"/>
    <n v="0"/>
  </r>
</pivotCacheRecords>
</file>

<file path=xl/pivotCache/pivotCacheRecords3.xml><?xml version="1.0" encoding="utf-8"?>
<pivotCacheRecords xmlns="http://schemas.openxmlformats.org/spreadsheetml/2006/main" xmlns:r="http://schemas.openxmlformats.org/officeDocument/2006/relationships" count="16">
  <r>
    <x v="0"/>
    <x v="0"/>
    <x v="0"/>
    <x v="0"/>
    <x v="0"/>
    <x v="0"/>
    <x v="0"/>
    <x v="0"/>
    <s v="TekNat"/>
    <n v="0"/>
    <n v="0"/>
    <n v="0"/>
    <n v="0"/>
    <n v="24104"/>
    <n v="31432"/>
    <n v="5900"/>
    <n v="0"/>
    <n v="0"/>
    <n v="0"/>
    <n v="0"/>
  </r>
  <r>
    <x v="0"/>
    <x v="0"/>
    <x v="1"/>
    <x v="1"/>
    <x v="0"/>
    <x v="0"/>
    <x v="0"/>
    <x v="0"/>
    <s v="TekNat"/>
    <n v="0"/>
    <n v="0"/>
    <n v="0"/>
    <n v="0"/>
    <n v="24104"/>
    <n v="31432"/>
    <n v="5900"/>
    <n v="0"/>
    <n v="0"/>
    <n v="0"/>
    <n v="0"/>
  </r>
  <r>
    <x v="1"/>
    <x v="1"/>
    <x v="0"/>
    <x v="0"/>
    <x v="0"/>
    <x v="0"/>
    <x v="0"/>
    <x v="0"/>
    <s v="TekNat"/>
    <n v="0"/>
    <n v="0"/>
    <n v="0"/>
    <n v="0"/>
    <n v="24104"/>
    <n v="31432"/>
    <n v="5900"/>
    <n v="0"/>
    <n v="0"/>
    <n v="0"/>
    <n v="0"/>
  </r>
  <r>
    <x v="1"/>
    <x v="1"/>
    <x v="1"/>
    <x v="1"/>
    <x v="0"/>
    <x v="0"/>
    <x v="0"/>
    <x v="0"/>
    <s v="TekNat"/>
    <n v="0"/>
    <n v="0"/>
    <n v="0"/>
    <n v="0"/>
    <n v="24104"/>
    <n v="31432"/>
    <n v="5900"/>
    <n v="0"/>
    <n v="0"/>
    <n v="0"/>
    <n v="0"/>
  </r>
  <r>
    <x v="2"/>
    <x v="2"/>
    <x v="0"/>
    <x v="0"/>
    <x v="0"/>
    <x v="0"/>
    <x v="0"/>
    <x v="0"/>
    <s v="TekNat"/>
    <n v="11.8750001325"/>
    <n v="3.1666667020000001"/>
    <n v="11.8750001325"/>
    <n v="3.1666667020000001"/>
    <n v="24104"/>
    <n v="31432"/>
    <n v="5900"/>
    <n v="175864.00196227201"/>
    <n v="-12310.480137359042"/>
    <n v="163553.52182491298"/>
    <n v="18683.333541800002"/>
  </r>
  <r>
    <x v="2"/>
    <x v="2"/>
    <x v="1"/>
    <x v="1"/>
    <x v="0"/>
    <x v="0"/>
    <x v="0"/>
    <x v="0"/>
    <s v="TekNat"/>
    <n v="11.8750001325"/>
    <n v="3.1666667020000001"/>
    <n v="11.8750001325"/>
    <n v="3.1666667020000001"/>
    <n v="24104"/>
    <n v="31432"/>
    <n v="5900"/>
    <n v="175864.00196227201"/>
    <n v="-12310.480137359042"/>
    <n v="163553.52182491298"/>
    <n v="18683.333541800002"/>
  </r>
  <r>
    <x v="3"/>
    <x v="3"/>
    <x v="2"/>
    <x v="2"/>
    <x v="1"/>
    <x v="1"/>
    <x v="1"/>
    <x v="1"/>
    <s v="Sam"/>
    <n v="0"/>
    <n v="0"/>
    <n v="0"/>
    <n v="0"/>
    <n v="45856"/>
    <n v="34830"/>
    <n v="35200"/>
    <n v="0"/>
    <n v="0"/>
    <n v="0"/>
    <n v="0"/>
  </r>
  <r>
    <x v="3"/>
    <x v="3"/>
    <x v="3"/>
    <x v="3"/>
    <x v="0"/>
    <x v="2"/>
    <x v="1"/>
    <x v="1"/>
    <s v="Sam"/>
    <n v="0"/>
    <n v="0"/>
    <n v="0"/>
    <n v="0"/>
    <n v="45856"/>
    <n v="34830"/>
    <n v="35200"/>
    <n v="0"/>
    <n v="0"/>
    <n v="0"/>
    <n v="0"/>
  </r>
  <r>
    <x v="4"/>
    <x v="4"/>
    <x v="4"/>
    <x v="4"/>
    <x v="1"/>
    <x v="3"/>
    <x v="1"/>
    <x v="1"/>
    <s v="Sam"/>
    <n v="0.500000004"/>
    <n v="8.3333333999999995E-2"/>
    <n v="0.500000004"/>
    <n v="8.3333333999999995E-2"/>
    <n v="45856"/>
    <n v="34830"/>
    <n v="35200"/>
    <n v="6723.8333871239993"/>
    <n v="-470.66833709868001"/>
    <n v="6253.165050025319"/>
    <n v="2933.3333567999998"/>
  </r>
  <r>
    <x v="5"/>
    <x v="5"/>
    <x v="4"/>
    <x v="4"/>
    <x v="1"/>
    <x v="3"/>
    <x v="1"/>
    <x v="1"/>
    <s v="Sam"/>
    <n v="0"/>
    <n v="0"/>
    <n v="0"/>
    <n v="0"/>
    <n v="45856"/>
    <n v="34830"/>
    <n v="35200"/>
    <n v="0"/>
    <n v="0"/>
    <n v="0"/>
    <n v="0"/>
  </r>
  <r>
    <x v="6"/>
    <x v="6"/>
    <x v="2"/>
    <x v="2"/>
    <x v="1"/>
    <x v="1"/>
    <x v="1"/>
    <x v="1"/>
    <s v="Sam"/>
    <n v="0"/>
    <n v="0"/>
    <n v="0"/>
    <n v="0"/>
    <n v="45856"/>
    <n v="34830"/>
    <n v="35200"/>
    <n v="0"/>
    <n v="0"/>
    <n v="0"/>
    <n v="0"/>
  </r>
  <r>
    <x v="7"/>
    <x v="7"/>
    <x v="5"/>
    <x v="5"/>
    <x v="2"/>
    <x v="4"/>
    <x v="2"/>
    <x v="2"/>
    <s v="Hum"/>
    <n v="0"/>
    <n v="0"/>
    <n v="0"/>
    <n v="0"/>
    <n v="24104"/>
    <n v="31432"/>
    <n v="5900"/>
    <n v="0"/>
    <n v="0"/>
    <n v="0"/>
    <n v="0"/>
  </r>
  <r>
    <x v="8"/>
    <x v="8"/>
    <x v="6"/>
    <x v="6"/>
    <x v="3"/>
    <x v="5"/>
    <x v="3"/>
    <x v="3"/>
    <s v="Hum"/>
    <n v="0"/>
    <n v="0"/>
    <n v="0"/>
    <n v="0"/>
    <n v="24740"/>
    <n v="27503"/>
    <n v="3500"/>
    <n v="0"/>
    <n v="0"/>
    <n v="0"/>
    <n v="0"/>
  </r>
  <r>
    <x v="9"/>
    <x v="9"/>
    <x v="7"/>
    <x v="7"/>
    <x v="2"/>
    <x v="6"/>
    <x v="4"/>
    <x v="4"/>
    <s v="Sam"/>
    <n v="0.125"/>
    <n v="0.05"/>
    <n v="0.125"/>
    <n v="0.05"/>
    <n v="19097"/>
    <n v="16075"/>
    <n v="5900"/>
    <n v="1758.6"/>
    <n v="-123.102"/>
    <n v="1635.4979999999998"/>
    <n v="295"/>
  </r>
  <r>
    <x v="10"/>
    <x v="10"/>
    <x v="0"/>
    <x v="0"/>
    <x v="0"/>
    <x v="0"/>
    <x v="4"/>
    <x v="4"/>
    <s v="Sam"/>
    <n v="4.6249999820000003"/>
    <n v="1.2333333285333334"/>
    <n v="4.6249999820000003"/>
    <n v="1.2333333285333334"/>
    <n v="24104"/>
    <n v="31432"/>
    <n v="5900"/>
    <n v="68494.399733427214"/>
    <n v="-4794.6079813399056"/>
    <n v="63699.791752087309"/>
    <n v="7276.6666383466672"/>
  </r>
  <r>
    <x v="11"/>
    <x v="11"/>
    <x v="1"/>
    <x v="1"/>
    <x v="0"/>
    <x v="0"/>
    <x v="1"/>
    <x v="1"/>
    <s v="Sam"/>
    <n v="4.3750000199999999"/>
    <n v="1.1666666719999998"/>
    <n v="4.3750000199999999"/>
    <n v="1.1666666719999998"/>
    <n v="24104"/>
    <n v="31432"/>
    <n v="5900"/>
    <n v="64792.000296191989"/>
    <n v="-4535.4400207334393"/>
    <n v="60256.560275458549"/>
    <n v="6883.33336479999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ell2" cacheId="88" applyNumberFormats="0" applyBorderFormats="0" applyFontFormats="0" applyPatternFormats="0" applyAlignmentFormats="0" applyWidthHeightFormats="1" dataCaption="Värden" updatedVersion="6" minRefreshableVersion="3" showCalcMbrs="0" useAutoFormatting="1" itemPrintTitles="1" createdVersion="3" indent="0" compact="0" compactData="0" multipleFieldFilters="0">
  <location ref="Z51:AD58" firstHeaderRow="1" firstDataRow="2" firstDataCol="1"/>
  <pivotFields count="20">
    <pivotField compact="0" outline="0" showAll="0"/>
    <pivotField compact="0" outline="0" showAll="0"/>
    <pivotField compact="0" outline="0" showAll="0" defaultSubtotal="0"/>
    <pivotField compact="0" outline="0" showAll="0"/>
    <pivotField compact="0" outline="0" showAll="0"/>
    <pivotField compact="0" numFmtId="9" outline="0" showAll="0" defaultSubtotal="0"/>
    <pivotField axis="axisRow" compact="0" outline="0" showAll="0" sortType="ascending">
      <items count="9">
        <item x="3"/>
        <item x="2"/>
        <item m="1" x="7"/>
        <item x="1"/>
        <item x="4"/>
        <item m="1" x="6"/>
        <item m="1" x="5"/>
        <item x="0"/>
        <item t="default"/>
      </items>
    </pivotField>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6"/>
  </rowFields>
  <rowItems count="6">
    <i>
      <x/>
    </i>
    <i>
      <x v="1"/>
    </i>
    <i>
      <x v="3"/>
    </i>
    <i>
      <x v="4"/>
    </i>
    <i>
      <x v="7"/>
    </i>
    <i t="grand">
      <x/>
    </i>
  </rowItems>
  <colFields count="1">
    <field x="-2"/>
  </colFields>
  <colItems count="4">
    <i>
      <x/>
    </i>
    <i i="1">
      <x v="1"/>
    </i>
    <i i="2">
      <x v="2"/>
    </i>
    <i i="3">
      <x v="3"/>
    </i>
  </colItems>
  <dataFields count="4">
    <dataField name="Summa av Lokalintäkt" fld="19" baseField="6" baseItem="4" numFmtId="170"/>
    <dataField name=" Kursintäkt efter avdrag" fld="18" baseField="0" baseItem="0" numFmtId="170"/>
    <dataField name=" HST medv" fld="10" baseField="0" baseItem="0" numFmtId="3"/>
    <dataField name=" HPR medv" fld="12" baseField="0" baseItem="0" numFmtId="3"/>
  </dataFields>
  <formats count="3">
    <format dxfId="50">
      <pivotArea outline="0" fieldPosition="0">
        <references count="1">
          <reference field="4294967294" count="1">
            <x v="1"/>
          </reference>
        </references>
      </pivotArea>
    </format>
    <format dxfId="49">
      <pivotArea outline="0" fieldPosition="0">
        <references count="1">
          <reference field="4294967294" count="1">
            <x v="0"/>
          </reference>
        </references>
      </pivotArea>
    </format>
    <format dxfId="48">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pivotTableDefinition>
</file>

<file path=xl/pivotTables/pivotTable2.xml><?xml version="1.0" encoding="utf-8"?>
<pivotTableDefinition xmlns="http://schemas.openxmlformats.org/spreadsheetml/2006/main" name="Pivottabell3" cacheId="68" applyNumberFormats="0" applyBorderFormats="0" applyFontFormats="0" applyPatternFormats="0" applyAlignmentFormats="0" applyWidthHeightFormats="1" dataCaption="Data" updatedVersion="6" minRefreshableVersion="3" showMemberPropertyTips="0" useAutoFormatting="1" itemPrintTitles="1" createdVersion="3" indent="0" compact="0" compactData="0" gridDropZones="1">
  <location ref="Z1:AD11" firstHeaderRow="1" firstDataRow="2" firstDataCol="1"/>
  <pivotFields count="39">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axis="axisRow" compact="0" outline="0" subtotalTop="0" showAll="0" includeNewItemsInFilter="1" sortType="ascending">
      <items count="17">
        <item x="0"/>
        <item x="7"/>
        <item m="1" x="14"/>
        <item x="2"/>
        <item x="3"/>
        <item x="6"/>
        <item m="1" x="9"/>
        <item m="1" x="10"/>
        <item x="4"/>
        <item m="1" x="15"/>
        <item m="1" x="12"/>
        <item m="1" x="13"/>
        <item m="1" x="8"/>
        <item x="5"/>
        <item x="1"/>
        <item n="2650" m="1" x="11"/>
        <item t="default"/>
      </items>
    </pivotField>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7"/>
  </rowFields>
  <rowItems count="9">
    <i>
      <x/>
    </i>
    <i>
      <x v="1"/>
    </i>
    <i>
      <x v="3"/>
    </i>
    <i>
      <x v="4"/>
    </i>
    <i>
      <x v="5"/>
    </i>
    <i>
      <x v="8"/>
    </i>
    <i>
      <x v="13"/>
    </i>
    <i>
      <x v="14"/>
    </i>
    <i t="grand">
      <x/>
    </i>
  </rowItems>
  <colFields count="1">
    <field x="-2"/>
  </colFields>
  <colItems count="4">
    <i>
      <x/>
    </i>
    <i i="1">
      <x v="1"/>
    </i>
    <i i="2">
      <x v="2"/>
    </i>
    <i i="3">
      <x v="3"/>
    </i>
  </colItems>
  <dataFields count="4">
    <dataField name=" Lokalintäkt" fld="25" baseField="0" baseItem="0" numFmtId="170"/>
    <dataField name=" Kursintäkt" fld="23" baseField="0" baseItem="0" numFmtId="170"/>
    <dataField name=" HST" fld="14" baseField="0" baseItem="0" numFmtId="3"/>
    <dataField name=" HPR" fld="16" baseField="0" baseItem="0" numFmtId="3"/>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ell1" cacheId="88" applyNumberFormats="0" applyBorderFormats="0" applyFontFormats="0" applyPatternFormats="0" applyAlignmentFormats="0" applyWidthHeightFormats="1" dataCaption="Värden" updatedVersion="6" minRefreshableVersion="3" showCalcMbrs="0" useAutoFormatting="1" itemPrintTitles="1" createdVersion="3" indent="0" compact="0" compactData="0" multipleFieldFilters="0">
  <location ref="Z26:AD36" firstHeaderRow="1" firstDataRow="2" firstDataCol="1"/>
  <pivotFields count="20">
    <pivotField compact="0" outline="0" showAll="0"/>
    <pivotField compact="0" outline="0" showAll="0"/>
    <pivotField axis="axisRow" compact="0" outline="0" showAll="0" sortType="ascending" defaultSubtotal="0">
      <items count="22">
        <item m="1" x="10"/>
        <item m="1" x="16"/>
        <item x="5"/>
        <item x="7"/>
        <item x="0"/>
        <item x="1"/>
        <item m="1" x="8"/>
        <item m="1" x="15"/>
        <item m="1" x="9"/>
        <item m="1" x="14"/>
        <item m="1" x="11"/>
        <item m="1" x="18"/>
        <item m="1" x="21"/>
        <item m="1" x="17"/>
        <item x="3"/>
        <item m="1" x="13"/>
        <item x="2"/>
        <item m="1" x="20"/>
        <item x="4"/>
        <item m="1" x="19"/>
        <item m="1" x="12"/>
        <item x="6"/>
      </items>
    </pivotField>
    <pivotField compact="0" outline="0" showAll="0" sortType="ascending"/>
    <pivotField compact="0" outline="0" showAll="0"/>
    <pivotField compact="0" numFmtId="9" outline="0" showAll="0" defaultSubtotal="0"/>
    <pivotField compact="0" outline="0" showAll="0"/>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2"/>
  </rowFields>
  <rowItems count="9">
    <i>
      <x v="2"/>
    </i>
    <i>
      <x v="3"/>
    </i>
    <i>
      <x v="4"/>
    </i>
    <i>
      <x v="5"/>
    </i>
    <i>
      <x v="14"/>
    </i>
    <i>
      <x v="16"/>
    </i>
    <i>
      <x v="18"/>
    </i>
    <i>
      <x v="21"/>
    </i>
    <i t="grand">
      <x/>
    </i>
  </rowItems>
  <colFields count="1">
    <field x="-2"/>
  </colFields>
  <colItems count="4">
    <i>
      <x/>
    </i>
    <i i="1">
      <x v="1"/>
    </i>
    <i i="2">
      <x v="2"/>
    </i>
    <i i="3">
      <x v="3"/>
    </i>
  </colItems>
  <dataFields count="4">
    <dataField name="Summa av Lokalintäkt" fld="19" baseField="2" baseItem="5" numFmtId="170"/>
    <dataField name=" Kursintäkt efter avdrag" fld="18" baseField="0" baseItem="0" numFmtId="170"/>
    <dataField name=" HST medv" fld="10" baseField="0" baseItem="0" numFmtId="3"/>
    <dataField name=" HPr medv" fld="12" baseField="0" baseItem="0" numFmtId="3"/>
  </dataFields>
  <formats count="1">
    <format dxfId="51">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pivotTableDefinition>
</file>

<file path=xl/pivotTables/pivotTable4.xml><?xml version="1.0" encoding="utf-8"?>
<pivotTableDefinition xmlns="http://schemas.openxmlformats.org/spreadsheetml/2006/main" name="Pivottabell2" cacheId="88"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A2:K32" firstHeaderRow="1" firstDataRow="2" firstDataCol="7"/>
  <pivotFields count="20">
    <pivotField axis="axisRow" compact="0" outline="0" subtotalTop="0" showAll="0" includeNewItemsInFilter="1" defaultSubtotal="0">
      <items count="13">
        <item m="1" x="12"/>
        <item x="5"/>
        <item x="8"/>
        <item x="0"/>
        <item x="1"/>
        <item x="10"/>
        <item x="11"/>
        <item x="2"/>
        <item x="3"/>
        <item x="4"/>
        <item x="6"/>
        <item x="7"/>
        <item x="9"/>
      </items>
    </pivotField>
    <pivotField axis="axisRow" compact="0" outline="0" subtotalTop="0" showAll="0" includeNewItemsInFilter="1" defaultSubtotal="0">
      <items count="12">
        <item x="3"/>
        <item x="5"/>
        <item x="8"/>
        <item x="0"/>
        <item x="1"/>
        <item x="10"/>
        <item x="11"/>
        <item x="2"/>
        <item x="4"/>
        <item x="6"/>
        <item x="7"/>
        <item x="9"/>
      </items>
    </pivotField>
    <pivotField axis="axisRow" compact="0" outline="0" showAll="0">
      <items count="23">
        <item m="1" x="10"/>
        <item m="1" x="16"/>
        <item x="5"/>
        <item x="7"/>
        <item x="0"/>
        <item x="1"/>
        <item m="1" x="8"/>
        <item m="1" x="15"/>
        <item m="1" x="9"/>
        <item m="1" x="14"/>
        <item m="1" x="11"/>
        <item m="1" x="18"/>
        <item m="1" x="21"/>
        <item m="1" x="17"/>
        <item m="1" x="13"/>
        <item x="2"/>
        <item m="1" x="20"/>
        <item m="1" x="19"/>
        <item m="1" x="12"/>
        <item x="6"/>
        <item x="4"/>
        <item x="3"/>
        <item t="default"/>
      </items>
    </pivotField>
    <pivotField axis="axisRow" compact="0" outline="0" subtotalTop="0" showAll="0" includeNewItemsInFilter="1" defaultSubtotal="0">
      <items count="8">
        <item x="2"/>
        <item x="3"/>
        <item x="0"/>
        <item x="6"/>
        <item x="4"/>
        <item x="1"/>
        <item x="5"/>
        <item x="7"/>
      </items>
    </pivotField>
    <pivotField axis="axisRow" compact="0" outline="0" subtotalTop="0" showAll="0" includeNewItemsInFilter="1">
      <items count="5">
        <item x="1"/>
        <item x="0"/>
        <item x="3"/>
        <item x="2"/>
        <item t="default"/>
      </items>
    </pivotField>
    <pivotField axis="axisRow" compact="0" outline="0" showAll="0" defaultSubtotal="0">
      <items count="7">
        <item x="2"/>
        <item x="1"/>
        <item x="5"/>
        <item x="0"/>
        <item x="3"/>
        <item x="4"/>
        <item x="6"/>
      </items>
    </pivotField>
    <pivotField compact="0" outline="0" subtotalTop="0" showAll="0" includeNewItemsInFilter="1">
      <items count="9">
        <item x="3"/>
        <item x="2"/>
        <item sd="0" x="1"/>
        <item m="1" x="7"/>
        <item x="0"/>
        <item x="4"/>
        <item m="1" x="6"/>
        <item m="1" x="5"/>
        <item t="default"/>
      </items>
    </pivotField>
    <pivotField axis="axisRow" compact="0" outline="0" subtotalTop="0" showAll="0" includeNewItemsInFilter="1" defaultSubtotal="0">
      <items count="5">
        <item x="3"/>
        <item x="1"/>
        <item x="0"/>
        <item x="4"/>
        <item x="2"/>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ubtotalTop="0" showAll="0"/>
    <pivotField compact="0" outline="0" showAll="0" defaultSubtotal="0"/>
    <pivotField compact="0" outline="0" subtotalTop="0" showAll="0" includeNewItemsInFilter="1"/>
    <pivotField dataField="1" compact="0" outline="0" showAll="0" defaultSubtotal="0"/>
    <pivotField dataField="1" compact="0" outline="0" subtotalTop="0" showAll="0"/>
  </pivotFields>
  <rowFields count="7">
    <field x="4"/>
    <field x="2"/>
    <field x="3"/>
    <field x="0"/>
    <field x="1"/>
    <field x="7"/>
    <field x="5"/>
  </rowFields>
  <rowItems count="29">
    <i>
      <x/>
      <x v="15"/>
      <x/>
      <x v="8"/>
      <x/>
      <x v="1"/>
      <x v="1"/>
    </i>
    <i r="3">
      <x v="10"/>
      <x v="9"/>
      <x v="1"/>
      <x v="1"/>
    </i>
    <i t="default" r="1">
      <x v="15"/>
    </i>
    <i r="1">
      <x v="20"/>
      <x v="4"/>
      <x v="1"/>
      <x v="1"/>
      <x v="1"/>
      <x v="4"/>
    </i>
    <i r="3">
      <x v="9"/>
      <x v="8"/>
      <x v="1"/>
      <x v="4"/>
    </i>
    <i t="default" r="1">
      <x v="20"/>
    </i>
    <i t="default">
      <x/>
    </i>
    <i>
      <x v="1"/>
      <x v="4"/>
      <x v="2"/>
      <x v="3"/>
      <x v="3"/>
      <x v="2"/>
      <x v="3"/>
    </i>
    <i r="3">
      <x v="4"/>
      <x v="4"/>
      <x v="2"/>
      <x v="3"/>
    </i>
    <i r="3">
      <x v="5"/>
      <x v="5"/>
      <x v="3"/>
      <x v="3"/>
    </i>
    <i r="3">
      <x v="7"/>
      <x v="7"/>
      <x v="2"/>
      <x v="3"/>
    </i>
    <i t="default" r="1">
      <x v="4"/>
    </i>
    <i r="1">
      <x v="5"/>
      <x v="5"/>
      <x v="3"/>
      <x v="3"/>
      <x v="2"/>
      <x v="3"/>
    </i>
    <i r="3">
      <x v="4"/>
      <x v="4"/>
      <x v="2"/>
      <x v="3"/>
    </i>
    <i r="3">
      <x v="6"/>
      <x v="6"/>
      <x v="1"/>
      <x v="3"/>
    </i>
    <i r="3">
      <x v="7"/>
      <x v="7"/>
      <x v="2"/>
      <x v="3"/>
    </i>
    <i t="default" r="1">
      <x v="5"/>
    </i>
    <i r="1">
      <x v="21"/>
      <x v="1"/>
      <x v="8"/>
      <x/>
      <x v="1"/>
      <x/>
    </i>
    <i t="default" r="1">
      <x v="21"/>
    </i>
    <i t="default">
      <x v="1"/>
    </i>
    <i>
      <x v="2"/>
      <x v="19"/>
      <x v="3"/>
      <x v="2"/>
      <x v="2"/>
      <x/>
      <x v="2"/>
    </i>
    <i t="default" r="1">
      <x v="19"/>
    </i>
    <i t="default">
      <x v="2"/>
    </i>
    <i>
      <x v="3"/>
      <x v="2"/>
      <x v="6"/>
      <x v="11"/>
      <x v="10"/>
      <x v="4"/>
      <x v="5"/>
    </i>
    <i t="default" r="1">
      <x v="2"/>
    </i>
    <i r="1">
      <x v="3"/>
      <x v="7"/>
      <x v="12"/>
      <x v="11"/>
      <x v="3"/>
      <x v="6"/>
    </i>
    <i t="default" r="1">
      <x v="3"/>
    </i>
    <i t="default">
      <x v="3"/>
    </i>
    <i t="grand">
      <x/>
    </i>
  </rowItems>
  <colFields count="1">
    <field x="-2"/>
  </colFields>
  <colItems count="4">
    <i>
      <x/>
    </i>
    <i i="1">
      <x v="1"/>
    </i>
    <i i="2">
      <x v="2"/>
    </i>
    <i i="3">
      <x v="3"/>
    </i>
  </colItems>
  <dataFields count="4">
    <dataField name=" HST medv" fld="10" baseField="5" baseItem="2" numFmtId="164"/>
    <dataField name="Summa av HPR Medv" fld="12" baseField="5" baseItem="30" numFmtId="164"/>
    <dataField name=" Kursintäkt efter avdrag" fld="18" baseField="0" baseItem="0" numFmtId="170"/>
    <dataField name="Summa av Lokalintäkt" fld="19" baseField="5" baseItem="4" numFmtId="170"/>
  </dataFields>
  <formats count="35">
    <format dxfId="47">
      <pivotArea dataOnly="0" labelOnly="1" grandRow="1" outline="0" fieldPosition="0"/>
    </format>
    <format dxfId="46">
      <pivotArea field="7" type="button" dataOnly="0" labelOnly="1" outline="0" axis="axisRow" fieldPosition="5"/>
    </format>
    <format dxfId="45">
      <pivotArea field="0" type="button" dataOnly="0" labelOnly="1" outline="0" axis="axisRow" fieldPosition="3"/>
    </format>
    <format dxfId="44">
      <pivotArea field="1" type="button" dataOnly="0" labelOnly="1" outline="0" axis="axisRow" fieldPosition="4"/>
    </format>
    <format dxfId="43">
      <pivotArea type="origin" dataOnly="0" labelOnly="1" outline="0" fieldPosition="0"/>
    </format>
    <format dxfId="42">
      <pivotArea dataOnly="0" labelOnly="1" outline="0" fieldPosition="0">
        <references count="1">
          <reference field="3" count="0"/>
        </references>
      </pivotArea>
    </format>
    <format dxfId="41">
      <pivotArea dataOnly="0" labelOnly="1" grandRow="1" outline="0" fieldPosition="0"/>
    </format>
    <format dxfId="40">
      <pivotArea field="3" type="button" dataOnly="0" labelOnly="1" outline="0" axis="axisRow" fieldPosition="2"/>
    </format>
    <format dxfId="39">
      <pivotArea field="6" type="button" dataOnly="0" labelOnly="1" outline="0"/>
    </format>
    <format dxfId="38">
      <pivotArea field="7" type="button" dataOnly="0" labelOnly="1" outline="0" axis="axisRow" fieldPosition="5"/>
    </format>
    <format dxfId="37">
      <pivotArea field="0" type="button" dataOnly="0" labelOnly="1" outline="0" axis="axisRow" fieldPosition="3"/>
    </format>
    <format dxfId="36">
      <pivotArea field="1" type="button" dataOnly="0" labelOnly="1" outline="0" axis="axisRow" fieldPosition="4"/>
    </format>
    <format dxfId="35">
      <pivotArea outline="0" fieldPosition="0">
        <references count="1">
          <reference field="4294967294" count="1">
            <x v="2"/>
          </reference>
        </references>
      </pivotArea>
    </format>
    <format dxfId="34">
      <pivotArea field="4" type="button" dataOnly="0" labelOnly="1" outline="0" axis="axisRow" fieldPosition="0"/>
    </format>
    <format dxfId="33">
      <pivotArea field="3" type="button" dataOnly="0" labelOnly="1" outline="0" axis="axisRow" fieldPosition="2"/>
    </format>
    <format dxfId="32">
      <pivotArea field="0" type="button" dataOnly="0" labelOnly="1" outline="0" axis="axisRow" fieldPosition="3"/>
    </format>
    <format dxfId="31">
      <pivotArea field="7" type="button" dataOnly="0" labelOnly="1" outline="0" axis="axisRow" fieldPosition="5"/>
    </format>
    <format dxfId="30">
      <pivotArea field="5" type="button" dataOnly="0" labelOnly="1" outline="0" axis="axisRow" fieldPosition="6"/>
    </format>
    <format dxfId="29">
      <pivotArea dataOnly="0" labelOnly="1" outline="0" fieldPosition="0">
        <references count="1">
          <reference field="4294967294" count="2">
            <x v="0"/>
            <x v="2"/>
          </reference>
        </references>
      </pivotArea>
    </format>
    <format dxfId="28">
      <pivotArea dataOnly="0" labelOnly="1" outline="0" fieldPosition="0">
        <references count="1">
          <reference field="4294967294" count="1">
            <x v="1"/>
          </reference>
        </references>
      </pivotArea>
    </format>
    <format dxfId="27">
      <pivotArea dataOnly="0" labelOnly="1" outline="0" fieldPosition="0">
        <references count="1">
          <reference field="4" count="1" defaultSubtotal="1">
            <x v="0"/>
          </reference>
        </references>
      </pivotArea>
    </format>
    <format dxfId="26">
      <pivotArea dataOnly="0" labelOnly="1" outline="0" fieldPosition="0">
        <references count="1">
          <reference field="4" count="1" defaultSubtotal="1">
            <x v="1"/>
          </reference>
        </references>
      </pivotArea>
    </format>
    <format dxfId="25">
      <pivotArea dataOnly="0" labelOnly="1" outline="0" fieldPosition="0">
        <references count="1">
          <reference field="4" count="1" defaultSubtotal="1">
            <x v="2"/>
          </reference>
        </references>
      </pivotArea>
    </format>
    <format dxfId="24">
      <pivotArea dataOnly="0" labelOnly="1" grandRow="1" outline="0" fieldPosition="0"/>
    </format>
    <format dxfId="23">
      <pivotArea dataOnly="0" labelOnly="1" outline="0" fieldPosition="0">
        <references count="2">
          <reference field="3" count="1" defaultSubtotal="1">
            <x v="0"/>
          </reference>
          <reference field="4" count="1" selected="0">
            <x v="0"/>
          </reference>
        </references>
      </pivotArea>
    </format>
    <format dxfId="22">
      <pivotArea dataOnly="0" labelOnly="1" outline="0" fieldPosition="0">
        <references count="2">
          <reference field="3" count="1" defaultSubtotal="1">
            <x v="4"/>
          </reference>
          <reference field="4" count="1" selected="0">
            <x v="0"/>
          </reference>
        </references>
      </pivotArea>
    </format>
    <format dxfId="21">
      <pivotArea dataOnly="0" labelOnly="1" outline="0" fieldPosition="0">
        <references count="2">
          <reference field="3" count="1" defaultSubtotal="1">
            <x v="1"/>
          </reference>
          <reference field="4" count="1" selected="0">
            <x v="1"/>
          </reference>
        </references>
      </pivotArea>
    </format>
    <format dxfId="20">
      <pivotArea dataOnly="0" labelOnly="1" outline="0" fieldPosition="0">
        <references count="2">
          <reference field="3" count="1" defaultSubtotal="1">
            <x v="2"/>
          </reference>
          <reference field="4" count="1" selected="0">
            <x v="1"/>
          </reference>
        </references>
      </pivotArea>
    </format>
    <format dxfId="19">
      <pivotArea dataOnly="0" labelOnly="1" outline="0" fieldPosition="0">
        <references count="2">
          <reference field="3" count="1" defaultSubtotal="1">
            <x v="5"/>
          </reference>
          <reference field="4" count="1" selected="0">
            <x v="1"/>
          </reference>
        </references>
      </pivotArea>
    </format>
    <format dxfId="18">
      <pivotArea dataOnly="0" labelOnly="1" outline="0" fieldPosition="0">
        <references count="2">
          <reference field="3" count="1" defaultSubtotal="1">
            <x v="3"/>
          </reference>
          <reference field="4" count="1" selected="0">
            <x v="2"/>
          </reference>
        </references>
      </pivotArea>
    </format>
    <format dxfId="17">
      <pivotArea dataOnly="0" labelOnly="1" outline="0" fieldPosition="0">
        <references count="1">
          <reference field="5" count="0"/>
        </references>
      </pivotArea>
    </format>
    <format dxfId="16">
      <pivotArea outline="0" fieldPosition="0">
        <references count="1">
          <reference field="4294967294" count="1">
            <x v="3"/>
          </reference>
        </references>
      </pivotArea>
    </format>
    <format dxfId="15">
      <pivotArea dataOnly="0" labelOnly="1" outline="0" fieldPosition="0">
        <references count="1">
          <reference field="4294967294" count="1">
            <x v="3"/>
          </reference>
        </references>
      </pivotArea>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s>
  <pivotTableStyleInfo name="PivotStyleMedium1" showRowHeaders="1" showColHeaders="1" showRowStripes="0" showColStripes="0" showLastColumn="1"/>
</pivotTableDefinition>
</file>

<file path=xl/pivotTables/pivotTable5.xml><?xml version="1.0" encoding="utf-8"?>
<pivotTableDefinition xmlns="http://schemas.openxmlformats.org/spreadsheetml/2006/main" name="Pivottabell3" cacheId="88"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A3:K26" firstHeaderRow="1" firstDataRow="2" firstDataCol="5"/>
  <pivotFields count="20">
    <pivotField axis="axisRow" compact="0" outline="0" subtotalTop="0" showAll="0" includeNewItemsInFilter="1" defaultSubtotal="0">
      <items count="13">
        <item m="1" x="12"/>
        <item x="5"/>
        <item x="8"/>
        <item x="0"/>
        <item x="1"/>
        <item x="10"/>
        <item x="11"/>
        <item x="2"/>
        <item x="3"/>
        <item x="4"/>
        <item x="6"/>
        <item x="7"/>
        <item x="9"/>
      </items>
    </pivotField>
    <pivotField axis="axisRow" compact="0" outline="0" subtotalTop="0" showAll="0" includeNewItemsInFilter="1" defaultSubtotal="0">
      <items count="12">
        <item x="8"/>
        <item x="3"/>
        <item x="5"/>
        <item x="0"/>
        <item x="1"/>
        <item x="10"/>
        <item x="11"/>
        <item x="2"/>
        <item x="4"/>
        <item x="6"/>
        <item x="7"/>
        <item x="9"/>
      </items>
    </pivotField>
    <pivotField compact="0" outline="0" showAll="0" defaultSubtotal="0"/>
    <pivotField axis="axisRow" compact="0" outline="0" subtotalTop="0" showAll="0" includeNewItemsInFilter="1" defaultSubtotal="0">
      <items count="8">
        <item x="2"/>
        <item x="3"/>
        <item x="0"/>
        <item x="6"/>
        <item x="4"/>
        <item x="1"/>
        <item x="5"/>
        <item x="7"/>
      </items>
    </pivotField>
    <pivotField compact="0" outline="0" subtotalTop="0" multipleItemSelectionAllowed="1" showAll="0" includeNewItemsInFilter="1"/>
    <pivotField compact="0" outline="0" showAll="0" defaultSubtotal="0"/>
    <pivotField axis="axisRow" compact="0" outline="0" subtotalTop="0" showAll="0" includeNewItemsInFilter="1" sortType="ascending">
      <items count="9">
        <item x="3"/>
        <item x="2"/>
        <item m="1" x="7"/>
        <item x="1"/>
        <item x="4"/>
        <item m="1" x="6"/>
        <item m="1" x="5"/>
        <item x="0"/>
        <item t="default"/>
      </items>
    </pivotField>
    <pivotField axis="axisRow" compact="0" outline="0" subtotalTop="0" showAll="0" includeNewItemsInFilter="1" defaultSubtotal="0">
      <items count="5">
        <item x="3"/>
        <item x="1"/>
        <item x="0"/>
        <item x="4"/>
        <item x="2"/>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howAll="0" defaultSubtotal="0"/>
    <pivotField name="Kursintäkt2" dataField="1" compact="0" outline="0" showAll="0" defaultSubtotal="0"/>
    <pivotField dataField="1" compact="0" outline="0" subtotalTop="0" showAll="0" includeNewItemsInFilter="1"/>
    <pivotField dataField="1" compact="0" outline="0" showAll="0" defaultSubtotal="0"/>
    <pivotField dataField="1" compact="0" numFmtId="167" outline="0" subtotalTop="0" showAll="0" includeNewItemsInFilter="1"/>
  </pivotFields>
  <rowFields count="5">
    <field x="6"/>
    <field x="7"/>
    <field x="0"/>
    <field x="1"/>
    <field x="3"/>
  </rowFields>
  <rowItems count="22">
    <i>
      <x/>
      <x/>
      <x v="2"/>
      <x/>
      <x v="3"/>
    </i>
    <i t="default">
      <x/>
    </i>
    <i>
      <x v="1"/>
      <x v="4"/>
      <x v="11"/>
      <x v="10"/>
      <x v="6"/>
    </i>
    <i t="default">
      <x v="1"/>
    </i>
    <i>
      <x v="3"/>
      <x v="1"/>
      <x v="1"/>
      <x v="2"/>
      <x v="4"/>
    </i>
    <i r="2">
      <x v="6"/>
      <x v="6"/>
      <x v="5"/>
    </i>
    <i r="2">
      <x v="8"/>
      <x v="1"/>
      <x/>
    </i>
    <i r="4">
      <x v="1"/>
    </i>
    <i r="2">
      <x v="9"/>
      <x v="8"/>
      <x v="4"/>
    </i>
    <i r="2">
      <x v="10"/>
      <x v="9"/>
      <x/>
    </i>
    <i t="default">
      <x v="3"/>
    </i>
    <i>
      <x v="4"/>
      <x v="3"/>
      <x v="5"/>
      <x v="5"/>
      <x v="2"/>
    </i>
    <i r="2">
      <x v="12"/>
      <x v="11"/>
      <x v="7"/>
    </i>
    <i t="default">
      <x v="4"/>
    </i>
    <i>
      <x v="7"/>
      <x v="2"/>
      <x v="3"/>
      <x v="3"/>
      <x v="2"/>
    </i>
    <i r="4">
      <x v="5"/>
    </i>
    <i r="2">
      <x v="4"/>
      <x v="4"/>
      <x v="2"/>
    </i>
    <i r="4">
      <x v="5"/>
    </i>
    <i r="2">
      <x v="7"/>
      <x v="7"/>
      <x v="2"/>
    </i>
    <i r="4">
      <x v="5"/>
    </i>
    <i t="default">
      <x v="7"/>
    </i>
    <i t="grand">
      <x/>
    </i>
  </rowItems>
  <colFields count="1">
    <field x="-2"/>
  </colFields>
  <colItems count="6">
    <i>
      <x/>
    </i>
    <i i="1">
      <x v="1"/>
    </i>
    <i i="2">
      <x v="2"/>
    </i>
    <i i="3">
      <x v="3"/>
    </i>
    <i i="4">
      <x v="4"/>
    </i>
    <i i="5">
      <x v="5"/>
    </i>
  </colItems>
  <dataFields count="6">
    <dataField name=" Kursintäkt" fld="16" baseField="0" baseItem="0" numFmtId="170"/>
    <dataField name="Kurs-ansvar" fld="17" baseField="0" baseItem="0" numFmtId="170"/>
    <dataField name=" Kursintäkt efter avdrag" fld="18" baseField="0" baseItem="0" numFmtId="170"/>
    <dataField name="Summa av Lokalintäkt" fld="19" baseField="3" baseItem="4" numFmtId="170"/>
    <dataField name="HST" fld="10" baseField="0" baseItem="0" numFmtId="171"/>
    <dataField name="HPR" fld="12" baseField="0" baseItem="0" numFmtId="171"/>
  </dataFields>
  <formats count="13">
    <format dxfId="12">
      <pivotArea type="all" dataOnly="0" outline="0" fieldPosition="0"/>
    </format>
    <format dxfId="11">
      <pivotArea type="all" dataOnly="0" outline="0" fieldPosition="0"/>
    </format>
    <format dxfId="10">
      <pivotArea field="0" type="button" dataOnly="0" labelOnly="1" outline="0" axis="axisRow" fieldPosition="2"/>
    </format>
    <format dxfId="9">
      <pivotArea field="6" type="button" dataOnly="0" labelOnly="1" outline="0" axis="axisRow" fieldPosition="0"/>
    </format>
    <format dxfId="8">
      <pivotArea field="7" type="button" dataOnly="0" labelOnly="1" outline="0" axis="axisRow" fieldPosition="1"/>
    </format>
    <format dxfId="7">
      <pivotArea field="3" type="button" dataOnly="0" labelOnly="1" outline="0" axis="axisRow" fieldPosition="4"/>
    </format>
    <format dxfId="6">
      <pivotArea dataOnly="0" labelOnly="1" outline="0" fieldPosition="0">
        <references count="1">
          <reference field="4294967294" count="0"/>
        </references>
      </pivotArea>
    </format>
    <format dxfId="5">
      <pivotArea outline="0" fieldPosition="0">
        <references count="1">
          <reference field="4294967294" count="1">
            <x v="1"/>
          </reference>
        </references>
      </pivotArea>
    </format>
    <format dxfId="4">
      <pivotArea outline="0" fieldPosition="0">
        <references count="1">
          <reference field="4294967294" count="1">
            <x v="4"/>
          </reference>
        </references>
      </pivotArea>
    </format>
    <format dxfId="3">
      <pivotArea outline="0" fieldPosition="0">
        <references count="1">
          <reference field="4294967294" count="1">
            <x v="5"/>
          </reference>
        </references>
      </pivotArea>
    </format>
    <format dxfId="2">
      <pivotArea outline="0" fieldPosition="0">
        <references count="1">
          <reference field="4294967294" count="1">
            <x v="0"/>
          </reference>
        </references>
      </pivotArea>
    </format>
    <format dxfId="1">
      <pivotArea outline="0" fieldPosition="0">
        <references count="1">
          <reference field="4294967294" count="1">
            <x v="2"/>
          </reference>
        </references>
      </pivotArea>
    </format>
    <format dxfId="0">
      <pivotArea outline="0" fieldPosition="0">
        <references count="1">
          <reference field="4294967294" count="1">
            <x v="3"/>
          </reference>
        </references>
      </pivotArea>
    </format>
  </formats>
  <pivotTableStyleInfo name="PivotStyleMedium1" showRowHeaders="1" showColHeaders="1" showRowStripes="0" showColStripes="0" showLastColumn="1"/>
</pivotTableDefinition>
</file>

<file path=xl/pivotTables/pivotTable6.xml><?xml version="1.0" encoding="utf-8"?>
<pivotTableDefinition xmlns="http://schemas.openxmlformats.org/spreadsheetml/2006/main" name="Pivottabell1" cacheId="15" applyNumberFormats="0" applyBorderFormats="0" applyFontFormats="0" applyPatternFormats="0" applyAlignmentFormats="0" applyWidthHeightFormats="1" dataCaption="Data" updatedVersion="6" minRefreshableVersion="3" showMemberPropertyTips="0" useAutoFormatting="1" itemPrintTitles="1" createdVersion="3" indent="0" compact="0" compactData="0" gridDropZones="1">
  <location ref="A4:D78" firstHeaderRow="1" firstDataRow="2" firstDataCol="1"/>
  <pivotFields count="64">
    <pivotField axis="axisRow" compact="0" outline="0" subtotalTop="0" showAll="0" includeNewItemsInFilter="1" sortType="ascending" defaultSubtotal="0">
      <items count="185">
        <item m="1" x="109"/>
        <item m="1" x="168"/>
        <item x="48"/>
        <item x="0"/>
        <item x="49"/>
        <item x="1"/>
        <item m="1" x="98"/>
        <item m="1" x="72"/>
        <item x="50"/>
        <item m="1" x="114"/>
        <item m="1" x="115"/>
        <item x="51"/>
        <item x="52"/>
        <item x="53"/>
        <item m="1" x="106"/>
        <item m="1" x="99"/>
        <item m="1" x="158"/>
        <item m="1" x="119"/>
        <item m="1" x="149"/>
        <item m="1" x="159"/>
        <item x="2"/>
        <item m="1" x="173"/>
        <item x="3"/>
        <item x="54"/>
        <item m="1" x="131"/>
        <item m="1" x="96"/>
        <item m="1" x="147"/>
        <item x="55"/>
        <item x="56"/>
        <item m="1" x="75"/>
        <item m="1" x="100"/>
        <item m="1" x="84"/>
        <item m="1" x="93"/>
        <item m="1" x="89"/>
        <item m="1" x="154"/>
        <item m="1" x="116"/>
        <item x="4"/>
        <item x="5"/>
        <item m="1" x="151"/>
        <item m="1" x="91"/>
        <item m="1" x="76"/>
        <item x="6"/>
        <item x="7"/>
        <item m="1" x="180"/>
        <item m="1" x="144"/>
        <item m="1" x="153"/>
        <item x="8"/>
        <item m="1" x="132"/>
        <item m="1" x="83"/>
        <item m="1" x="107"/>
        <item m="1" x="105"/>
        <item m="1" x="113"/>
        <item m="1" x="101"/>
        <item m="1" x="128"/>
        <item m="1" x="156"/>
        <item m="1" x="127"/>
        <item m="1" x="92"/>
        <item m="1" x="179"/>
        <item m="1" x="142"/>
        <item m="1" x="74"/>
        <item m="1" x="126"/>
        <item m="1" x="166"/>
        <item m="1" x="152"/>
        <item m="1" x="112"/>
        <item m="1" x="182"/>
        <item m="1" x="95"/>
        <item m="1" x="137"/>
        <item x="9"/>
        <item m="1" x="102"/>
        <item m="1" x="73"/>
        <item x="10"/>
        <item x="11"/>
        <item x="12"/>
        <item m="1" x="123"/>
        <item m="1" x="117"/>
        <item m="1" x="146"/>
        <item m="1" x="108"/>
        <item m="1" x="175"/>
        <item m="1" x="85"/>
        <item x="13"/>
        <item m="1" x="171"/>
        <item m="1" x="129"/>
        <item x="14"/>
        <item x="57"/>
        <item x="15"/>
        <item x="58"/>
        <item x="16"/>
        <item x="17"/>
        <item m="1" x="176"/>
        <item m="1" x="88"/>
        <item m="1" x="140"/>
        <item x="18"/>
        <item m="1" x="143"/>
        <item m="1" x="170"/>
        <item x="19"/>
        <item m="1" x="138"/>
        <item m="1" x="103"/>
        <item m="1" x="81"/>
        <item m="1" x="183"/>
        <item m="1" x="78"/>
        <item m="1" x="157"/>
        <item m="1" x="118"/>
        <item x="20"/>
        <item m="1" x="130"/>
        <item x="59"/>
        <item x="60"/>
        <item x="21"/>
        <item x="22"/>
        <item x="23"/>
        <item x="24"/>
        <item m="1" x="77"/>
        <item m="1" x="160"/>
        <item m="1" x="169"/>
        <item x="25"/>
        <item x="61"/>
        <item m="1" x="124"/>
        <item m="1" x="177"/>
        <item m="1" x="135"/>
        <item m="1" x="150"/>
        <item m="1" x="165"/>
        <item m="1" x="111"/>
        <item m="1" x="79"/>
        <item m="1" x="161"/>
        <item m="1" x="120"/>
        <item x="26"/>
        <item m="1" x="174"/>
        <item m="1" x="133"/>
        <item m="1" x="184"/>
        <item x="27"/>
        <item x="62"/>
        <item x="63"/>
        <item x="64"/>
        <item x="28"/>
        <item x="29"/>
        <item m="1" x="90"/>
        <item m="1" x="178"/>
        <item m="1" x="139"/>
        <item m="1" x="104"/>
        <item m="1" x="125"/>
        <item m="1" x="82"/>
        <item m="1" x="167"/>
        <item x="30"/>
        <item x="31"/>
        <item x="32"/>
        <item m="1" x="94"/>
        <item x="65"/>
        <item x="33"/>
        <item x="34"/>
        <item m="1" x="86"/>
        <item x="35"/>
        <item x="36"/>
        <item m="1" x="164"/>
        <item m="1" x="122"/>
        <item x="66"/>
        <item m="1" x="136"/>
        <item m="1" x="87"/>
        <item x="37"/>
        <item x="67"/>
        <item x="38"/>
        <item m="1" x="141"/>
        <item x="68"/>
        <item x="39"/>
        <item x="40"/>
        <item x="69"/>
        <item x="41"/>
        <item x="42"/>
        <item m="1" x="80"/>
        <item m="1" x="163"/>
        <item m="1" x="97"/>
        <item m="1" x="181"/>
        <item x="43"/>
        <item m="1" x="134"/>
        <item m="1" x="148"/>
        <item m="1" x="162"/>
        <item m="1" x="121"/>
        <item x="70"/>
        <item x="44"/>
        <item m="1" x="172"/>
        <item x="45"/>
        <item x="46"/>
        <item m="1" x="110"/>
        <item m="1" x="155"/>
        <item x="47"/>
        <item x="71"/>
        <item m="1" x="145"/>
      </items>
    </pivotField>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multipleItemSelectionAllowed="1"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73">
    <i>
      <x v="2"/>
    </i>
    <i>
      <x v="3"/>
    </i>
    <i>
      <x v="4"/>
    </i>
    <i>
      <x v="5"/>
    </i>
    <i>
      <x v="8"/>
    </i>
    <i>
      <x v="11"/>
    </i>
    <i>
      <x v="12"/>
    </i>
    <i>
      <x v="13"/>
    </i>
    <i>
      <x v="20"/>
    </i>
    <i>
      <x v="22"/>
    </i>
    <i>
      <x v="23"/>
    </i>
    <i>
      <x v="27"/>
    </i>
    <i>
      <x v="28"/>
    </i>
    <i>
      <x v="36"/>
    </i>
    <i>
      <x v="37"/>
    </i>
    <i>
      <x v="41"/>
    </i>
    <i>
      <x v="42"/>
    </i>
    <i>
      <x v="46"/>
    </i>
    <i>
      <x v="67"/>
    </i>
    <i>
      <x v="70"/>
    </i>
    <i>
      <x v="71"/>
    </i>
    <i>
      <x v="72"/>
    </i>
    <i>
      <x v="79"/>
    </i>
    <i>
      <x v="82"/>
    </i>
    <i>
      <x v="83"/>
    </i>
    <i>
      <x v="84"/>
    </i>
    <i>
      <x v="85"/>
    </i>
    <i>
      <x v="86"/>
    </i>
    <i>
      <x v="87"/>
    </i>
    <i>
      <x v="91"/>
    </i>
    <i>
      <x v="94"/>
    </i>
    <i>
      <x v="102"/>
    </i>
    <i>
      <x v="104"/>
    </i>
    <i>
      <x v="105"/>
    </i>
    <i>
      <x v="106"/>
    </i>
    <i>
      <x v="107"/>
    </i>
    <i>
      <x v="108"/>
    </i>
    <i>
      <x v="109"/>
    </i>
    <i>
      <x v="113"/>
    </i>
    <i>
      <x v="114"/>
    </i>
    <i>
      <x v="124"/>
    </i>
    <i>
      <x v="128"/>
    </i>
    <i>
      <x v="129"/>
    </i>
    <i>
      <x v="130"/>
    </i>
    <i>
      <x v="131"/>
    </i>
    <i>
      <x v="132"/>
    </i>
    <i>
      <x v="133"/>
    </i>
    <i>
      <x v="141"/>
    </i>
    <i>
      <x v="142"/>
    </i>
    <i>
      <x v="143"/>
    </i>
    <i>
      <x v="145"/>
    </i>
    <i>
      <x v="146"/>
    </i>
    <i>
      <x v="147"/>
    </i>
    <i>
      <x v="149"/>
    </i>
    <i>
      <x v="150"/>
    </i>
    <i>
      <x v="153"/>
    </i>
    <i>
      <x v="156"/>
    </i>
    <i>
      <x v="157"/>
    </i>
    <i>
      <x v="158"/>
    </i>
    <i>
      <x v="160"/>
    </i>
    <i>
      <x v="161"/>
    </i>
    <i>
      <x v="162"/>
    </i>
    <i>
      <x v="163"/>
    </i>
    <i>
      <x v="164"/>
    </i>
    <i>
      <x v="165"/>
    </i>
    <i>
      <x v="170"/>
    </i>
    <i>
      <x v="175"/>
    </i>
    <i>
      <x v="176"/>
    </i>
    <i>
      <x v="178"/>
    </i>
    <i>
      <x v="179"/>
    </i>
    <i>
      <x v="182"/>
    </i>
    <i>
      <x v="183"/>
    </i>
    <i t="grand">
      <x/>
    </i>
  </rowItems>
  <colFields count="1">
    <field x="-2"/>
  </colFields>
  <colItems count="3">
    <i>
      <x/>
    </i>
    <i i="1">
      <x v="1"/>
    </i>
    <i i="2">
      <x v="2"/>
    </i>
  </colItems>
  <dataFields count="3">
    <dataField name=" HST" fld="14" baseField="0" baseItem="342" numFmtId="2"/>
    <dataField name=" HPR" fld="16" baseField="0" baseItem="342" numFmtId="2"/>
    <dataField name="Summa av Totala intäkter" fld="26" baseField="0" baseItem="89" numFmtId="3"/>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ell1" cacheId="88" applyNumberFormats="0" applyBorderFormats="0" applyFontFormats="0" applyPatternFormats="0" applyAlignmentFormats="0" applyWidthHeightFormats="1" dataCaption="Värden" updatedVersion="6" minRefreshableVersion="3" useAutoFormatting="1" itemPrintTitles="1" createdVersion="4" indent="0" compact="0" compactData="0" multipleFieldFilters="0">
  <location ref="A3:E20" firstHeaderRow="1" firstDataRow="1" firstDataCol="5"/>
  <pivotFields count="20">
    <pivotField axis="axisRow" compact="0" outline="0" showAll="0" defaultSubtotal="0">
      <items count="13">
        <item m="1" x="12"/>
        <item x="5"/>
        <item x="6"/>
        <item x="8"/>
        <item x="0"/>
        <item x="1"/>
        <item x="10"/>
        <item x="11"/>
        <item x="2"/>
        <item x="3"/>
        <item x="4"/>
        <item x="7"/>
        <item x="9"/>
      </items>
    </pivotField>
    <pivotField axis="axisRow" compact="0" outline="0" showAll="0" sortType="ascending" defaultSubtotal="0">
      <items count="12">
        <item x="8"/>
        <item x="2"/>
        <item x="0"/>
        <item x="1"/>
        <item x="7"/>
        <item x="9"/>
        <item x="4"/>
        <item x="3"/>
        <item x="6"/>
        <item x="5"/>
        <item x="11"/>
        <item x="10"/>
      </items>
    </pivotField>
    <pivotField compact="0" outline="0" showAll="0"/>
    <pivotField axis="axisRow" compact="0" outline="0" showAll="0" defaultSubtotal="0">
      <items count="8">
        <item x="4"/>
        <item x="2"/>
        <item x="3"/>
        <item x="6"/>
        <item x="0"/>
        <item x="1"/>
        <item x="5"/>
        <item x="7"/>
      </items>
    </pivotField>
    <pivotField compact="0" outline="0" showAll="0"/>
    <pivotField axis="axisRow" compact="0" numFmtId="172" outline="0" showAll="0">
      <items count="8">
        <item x="2"/>
        <item x="1"/>
        <item x="5"/>
        <item x="0"/>
        <item x="3"/>
        <item x="4"/>
        <item x="6"/>
        <item t="default"/>
      </items>
    </pivotField>
    <pivotField compact="0" outline="0" showAll="0"/>
    <pivotField axis="axisRow" compact="0" outline="0" showAll="0" defaultSubtotal="0">
      <items count="5">
        <item x="3"/>
        <item x="0"/>
        <item x="1"/>
        <item x="4"/>
        <item x="2"/>
      </items>
    </pivotField>
    <pivotField compact="0" outline="0" showAll="0"/>
    <pivotField compact="0" numFmtId="165" outline="0" showAll="0"/>
    <pivotField compact="0" numFmtId="165" outline="0" showAll="0"/>
    <pivotField compact="0" numFmtId="165" outline="0" showAll="0"/>
    <pivotField compact="0" numFmtId="165"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s>
  <rowFields count="5">
    <field x="1"/>
    <field x="0"/>
    <field x="7"/>
    <field x="3"/>
    <field x="5"/>
  </rowFields>
  <rowItems count="17">
    <i>
      <x/>
      <x v="3"/>
      <x/>
      <x v="3"/>
      <x v="2"/>
    </i>
    <i>
      <x v="1"/>
      <x v="8"/>
      <x v="1"/>
      <x v="4"/>
      <x v="3"/>
    </i>
    <i r="3">
      <x v="5"/>
      <x v="3"/>
    </i>
    <i>
      <x v="2"/>
      <x v="4"/>
      <x v="1"/>
      <x v="4"/>
      <x v="3"/>
    </i>
    <i r="3">
      <x v="5"/>
      <x v="3"/>
    </i>
    <i>
      <x v="3"/>
      <x v="5"/>
      <x v="1"/>
      <x v="4"/>
      <x v="3"/>
    </i>
    <i r="3">
      <x v="5"/>
      <x v="3"/>
    </i>
    <i>
      <x v="4"/>
      <x v="11"/>
      <x v="4"/>
      <x v="6"/>
      <x v="5"/>
    </i>
    <i>
      <x v="5"/>
      <x v="12"/>
      <x v="3"/>
      <x v="7"/>
      <x v="6"/>
    </i>
    <i>
      <x v="6"/>
      <x v="10"/>
      <x v="2"/>
      <x/>
      <x v="4"/>
    </i>
    <i>
      <x v="7"/>
      <x v="9"/>
      <x v="2"/>
      <x v="1"/>
      <x v="1"/>
    </i>
    <i r="3">
      <x v="2"/>
      <x/>
    </i>
    <i>
      <x v="8"/>
      <x v="2"/>
      <x v="2"/>
      <x v="1"/>
      <x v="1"/>
    </i>
    <i>
      <x v="9"/>
      <x v="1"/>
      <x v="2"/>
      <x/>
      <x v="4"/>
    </i>
    <i>
      <x v="10"/>
      <x v="7"/>
      <x v="2"/>
      <x v="5"/>
      <x v="3"/>
    </i>
    <i>
      <x v="11"/>
      <x v="6"/>
      <x v="3"/>
      <x v="4"/>
      <x v="3"/>
    </i>
    <i t="grand">
      <x/>
    </i>
  </rowItems>
  <colItems count="1">
    <i/>
  </colItems>
  <pivotTableStyleInfo name="PivotStyleLight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a.alenius@umu.s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6.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7030A0"/>
    <pageSetUpPr fitToPage="1"/>
  </sheetPr>
  <dimension ref="A2:A21"/>
  <sheetViews>
    <sheetView zoomScaleNormal="100" workbookViewId="0">
      <selection activeCell="A18" sqref="A18"/>
    </sheetView>
  </sheetViews>
  <sheetFormatPr defaultColWidth="8.85546875" defaultRowHeight="15" x14ac:dyDescent="0.25"/>
  <cols>
    <col min="1" max="1" width="136" customWidth="1"/>
  </cols>
  <sheetData>
    <row r="2" spans="1:1" s="34" customFormat="1" ht="18.75" x14ac:dyDescent="0.3">
      <c r="A2" s="247" t="s">
        <v>912</v>
      </c>
    </row>
    <row r="3" spans="1:1" s="34" customFormat="1" ht="18.75" x14ac:dyDescent="0.3">
      <c r="A3" s="247"/>
    </row>
    <row r="4" spans="1:1" ht="21.75" customHeight="1" x14ac:dyDescent="0.25">
      <c r="A4" s="248"/>
    </row>
    <row r="5" spans="1:1" s="38" customFormat="1" ht="69.75" customHeight="1" x14ac:dyDescent="0.25">
      <c r="A5" s="246" t="s">
        <v>951</v>
      </c>
    </row>
    <row r="6" spans="1:1" ht="43.5" customHeight="1" x14ac:dyDescent="0.25">
      <c r="A6" s="246" t="s">
        <v>562</v>
      </c>
    </row>
    <row r="7" spans="1:1" ht="43.5" customHeight="1" x14ac:dyDescent="0.25">
      <c r="A7" s="246" t="s">
        <v>899</v>
      </c>
    </row>
    <row r="8" spans="1:1" ht="97.5" customHeight="1" x14ac:dyDescent="0.25">
      <c r="A8" s="287" t="s">
        <v>590</v>
      </c>
    </row>
    <row r="9" spans="1:1" ht="71.25" customHeight="1" x14ac:dyDescent="0.25">
      <c r="A9" s="246" t="s">
        <v>694</v>
      </c>
    </row>
    <row r="10" spans="1:1" ht="65.25" customHeight="1" x14ac:dyDescent="0.25">
      <c r="A10" s="246" t="s">
        <v>481</v>
      </c>
    </row>
    <row r="11" spans="1:1" ht="56.25" customHeight="1" x14ac:dyDescent="0.25">
      <c r="A11" s="246" t="s">
        <v>512</v>
      </c>
    </row>
    <row r="12" spans="1:1" ht="15" customHeight="1" x14ac:dyDescent="0.25">
      <c r="A12" s="246"/>
    </row>
    <row r="13" spans="1:1" x14ac:dyDescent="0.25">
      <c r="A13" s="250" t="s">
        <v>825</v>
      </c>
    </row>
    <row r="14" spans="1:1" x14ac:dyDescent="0.25">
      <c r="A14" s="249" t="s">
        <v>563</v>
      </c>
    </row>
    <row r="15" spans="1:1" x14ac:dyDescent="0.25">
      <c r="A15" s="249"/>
    </row>
    <row r="16" spans="1:1" x14ac:dyDescent="0.25">
      <c r="A16" s="248"/>
    </row>
    <row r="17" spans="1:1" ht="32.25" customHeight="1" x14ac:dyDescent="0.25">
      <c r="A17" s="246"/>
    </row>
    <row r="18" spans="1:1" x14ac:dyDescent="0.25">
      <c r="A18" s="263"/>
    </row>
    <row r="21" spans="1:1" ht="18.75" x14ac:dyDescent="0.25">
      <c r="A21" s="246"/>
    </row>
  </sheetData>
  <hyperlinks>
    <hyperlink ref="A14" r:id="rId1"/>
  </hyperlinks>
  <pageMargins left="0.70866141732283472" right="0.70866141732283472" top="0.74803149606299213" bottom="0.74803149606299213" header="0.31496062992125984" footer="0.31496062992125984"/>
  <pageSetup paperSize="9" scale="6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indexed="12"/>
    <pageSetUpPr fitToPage="1"/>
  </sheetPr>
  <dimension ref="A1:DM326"/>
  <sheetViews>
    <sheetView workbookViewId="0">
      <selection activeCell="D49" sqref="D49"/>
    </sheetView>
  </sheetViews>
  <sheetFormatPr defaultColWidth="8.85546875" defaultRowHeight="15" x14ac:dyDescent="0.25"/>
  <cols>
    <col min="1" max="1" width="11.42578125" style="25" customWidth="1"/>
    <col min="2" max="2" width="33.7109375" style="25" customWidth="1"/>
    <col min="3" max="3" width="15.140625" style="25" customWidth="1"/>
    <col min="4" max="4" width="55.5703125" style="25" customWidth="1"/>
    <col min="5" max="5" width="29.28515625" style="25" customWidth="1"/>
    <col min="6" max="6" width="10.28515625" style="25" customWidth="1"/>
    <col min="7" max="7" width="7.42578125" style="25" customWidth="1"/>
    <col min="8" max="9" width="10.28515625" style="25" customWidth="1"/>
    <col min="10" max="10" width="5" style="25" customWidth="1"/>
    <col min="11" max="11" width="5.28515625" style="25" customWidth="1"/>
    <col min="12" max="12" width="17" style="25" customWidth="1"/>
    <col min="13" max="21" width="29.28515625" style="25" bestFit="1" customWidth="1"/>
    <col min="22" max="22" width="29.28515625" style="25" customWidth="1"/>
    <col min="23" max="111" width="29.28515625" style="25" bestFit="1" customWidth="1"/>
    <col min="112" max="112" width="16" style="25" bestFit="1" customWidth="1"/>
    <col min="113" max="113" width="22.85546875" style="25" bestFit="1" customWidth="1"/>
    <col min="114" max="114" width="25.42578125" style="25" bestFit="1" customWidth="1"/>
    <col min="115" max="115" width="10.42578125" style="25" bestFit="1" customWidth="1"/>
    <col min="116" max="116" width="10.7109375" style="25" bestFit="1" customWidth="1"/>
    <col min="117" max="117" width="25.7109375" style="25" bestFit="1" customWidth="1"/>
    <col min="118" max="16384" width="8.85546875" style="25"/>
  </cols>
  <sheetData>
    <row r="1" spans="1:117" x14ac:dyDescent="0.25">
      <c r="A1"/>
      <c r="B1"/>
    </row>
    <row r="2" spans="1:117" s="28" customFormat="1" ht="15" customHeight="1" x14ac:dyDescent="0.2">
      <c r="A2" s="434" t="s">
        <v>286</v>
      </c>
      <c r="B2" s="434"/>
      <c r="D2" s="434" t="s">
        <v>285</v>
      </c>
      <c r="E2" s="434"/>
    </row>
    <row r="3" spans="1:117" x14ac:dyDescent="0.25">
      <c r="A3" s="398"/>
      <c r="B3" s="399"/>
      <c r="C3" s="399"/>
      <c r="D3" s="399"/>
      <c r="E3" s="399"/>
      <c r="F3" s="400" t="s">
        <v>2</v>
      </c>
      <c r="G3" s="399"/>
      <c r="H3" s="399"/>
      <c r="I3" s="399"/>
      <c r="J3" s="399"/>
      <c r="K3" s="40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row>
    <row r="4" spans="1:117" s="29" customFormat="1" ht="45" x14ac:dyDescent="0.25">
      <c r="A4" s="414" t="s">
        <v>281</v>
      </c>
      <c r="B4" s="413" t="s">
        <v>0</v>
      </c>
      <c r="C4" s="413" t="s">
        <v>57</v>
      </c>
      <c r="D4" s="402" t="s">
        <v>113</v>
      </c>
      <c r="E4" s="413" t="s">
        <v>280</v>
      </c>
      <c r="F4" s="415" t="s">
        <v>353</v>
      </c>
      <c r="G4" s="415" t="s">
        <v>299</v>
      </c>
      <c r="H4" s="415" t="s">
        <v>363</v>
      </c>
      <c r="I4" s="415" t="s">
        <v>480</v>
      </c>
      <c r="J4" s="415" t="s">
        <v>59</v>
      </c>
      <c r="K4" s="416" t="s">
        <v>60</v>
      </c>
      <c r="L4"/>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row>
    <row r="5" spans="1:117" x14ac:dyDescent="0.25">
      <c r="A5" s="404">
        <v>1620</v>
      </c>
      <c r="B5" s="403" t="s">
        <v>131</v>
      </c>
      <c r="C5" s="403" t="s">
        <v>471</v>
      </c>
      <c r="D5" s="403" t="s">
        <v>401</v>
      </c>
      <c r="E5" s="403" t="s">
        <v>365</v>
      </c>
      <c r="F5" s="405">
        <v>0</v>
      </c>
      <c r="G5" s="405">
        <v>0</v>
      </c>
      <c r="H5" s="405">
        <v>0</v>
      </c>
      <c r="I5" s="405">
        <v>0</v>
      </c>
      <c r="J5" s="406">
        <v>0</v>
      </c>
      <c r="K5" s="407">
        <v>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row>
    <row r="6" spans="1:117" x14ac:dyDescent="0.25">
      <c r="A6" s="404" t="s">
        <v>475</v>
      </c>
      <c r="B6" s="403"/>
      <c r="C6" s="403"/>
      <c r="D6" s="403"/>
      <c r="E6" s="403"/>
      <c r="F6" s="405">
        <v>0</v>
      </c>
      <c r="G6" s="405">
        <v>0</v>
      </c>
      <c r="H6" s="405">
        <v>0</v>
      </c>
      <c r="I6" s="405">
        <v>0</v>
      </c>
      <c r="J6" s="406">
        <v>0</v>
      </c>
      <c r="K6" s="407">
        <v>0</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row>
    <row r="7" spans="1:117" x14ac:dyDescent="0.25">
      <c r="A7" s="404">
        <v>1630</v>
      </c>
      <c r="B7" s="403" t="s">
        <v>127</v>
      </c>
      <c r="C7" s="403" t="s">
        <v>806</v>
      </c>
      <c r="D7" s="403" t="s">
        <v>807</v>
      </c>
      <c r="E7" s="403" t="s">
        <v>128</v>
      </c>
      <c r="F7" s="405">
        <v>0</v>
      </c>
      <c r="G7" s="405">
        <v>0</v>
      </c>
      <c r="H7" s="405">
        <v>0</v>
      </c>
      <c r="I7" s="405">
        <v>0</v>
      </c>
      <c r="J7" s="406">
        <v>0</v>
      </c>
      <c r="K7" s="407">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row>
    <row r="8" spans="1:117" x14ac:dyDescent="0.25">
      <c r="A8" s="404" t="s">
        <v>810</v>
      </c>
      <c r="B8" s="403"/>
      <c r="C8" s="403"/>
      <c r="D8" s="403"/>
      <c r="E8" s="403"/>
      <c r="F8" s="405">
        <v>0</v>
      </c>
      <c r="G8" s="405">
        <v>0</v>
      </c>
      <c r="H8" s="405">
        <v>0</v>
      </c>
      <c r="I8" s="405">
        <v>0</v>
      </c>
      <c r="J8" s="406">
        <v>0</v>
      </c>
      <c r="K8" s="407">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row>
    <row r="9" spans="1:117" x14ac:dyDescent="0.25">
      <c r="A9" s="404">
        <v>2180</v>
      </c>
      <c r="B9" s="403" t="s">
        <v>147</v>
      </c>
      <c r="C9" s="403" t="s">
        <v>399</v>
      </c>
      <c r="D9" s="403" t="s">
        <v>400</v>
      </c>
      <c r="E9" s="403" t="s">
        <v>470</v>
      </c>
      <c r="F9" s="405">
        <v>0</v>
      </c>
      <c r="G9" s="405">
        <v>0</v>
      </c>
      <c r="H9" s="405">
        <v>0</v>
      </c>
      <c r="I9" s="405">
        <v>0</v>
      </c>
      <c r="J9" s="406">
        <v>0</v>
      </c>
      <c r="K9" s="407">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row>
    <row r="10" spans="1:117" x14ac:dyDescent="0.25">
      <c r="A10" s="404"/>
      <c r="B10" s="403"/>
      <c r="C10" s="403" t="s">
        <v>535</v>
      </c>
      <c r="D10" s="403" t="s">
        <v>540</v>
      </c>
      <c r="E10" s="403" t="s">
        <v>499</v>
      </c>
      <c r="F10" s="405">
        <v>64792.000296191989</v>
      </c>
      <c r="G10" s="405">
        <v>-4535.4400207334393</v>
      </c>
      <c r="H10" s="405">
        <v>60256.560275458549</v>
      </c>
      <c r="I10" s="405">
        <v>6883.3333647999989</v>
      </c>
      <c r="J10" s="406">
        <v>1.1666666719999998</v>
      </c>
      <c r="K10" s="407">
        <v>1.1666666719999998</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row>
    <row r="11" spans="1:117" x14ac:dyDescent="0.25">
      <c r="A11" s="404"/>
      <c r="B11" s="403"/>
      <c r="C11" s="403" t="s">
        <v>695</v>
      </c>
      <c r="D11" s="403" t="s">
        <v>392</v>
      </c>
      <c r="E11" s="403" t="s">
        <v>197</v>
      </c>
      <c r="F11" s="405">
        <v>0</v>
      </c>
      <c r="G11" s="405">
        <v>0</v>
      </c>
      <c r="H11" s="405">
        <v>0</v>
      </c>
      <c r="I11" s="405">
        <v>0</v>
      </c>
      <c r="J11" s="406">
        <v>0</v>
      </c>
      <c r="K11" s="407">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row>
    <row r="12" spans="1:117" x14ac:dyDescent="0.25">
      <c r="A12" s="404"/>
      <c r="B12" s="403"/>
      <c r="C12" s="403"/>
      <c r="D12" s="403"/>
      <c r="E12" s="403" t="s">
        <v>160</v>
      </c>
      <c r="F12" s="405">
        <v>0</v>
      </c>
      <c r="G12" s="405">
        <v>0</v>
      </c>
      <c r="H12" s="405">
        <v>0</v>
      </c>
      <c r="I12" s="405">
        <v>0</v>
      </c>
      <c r="J12" s="406">
        <v>0</v>
      </c>
      <c r="K12" s="407">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row>
    <row r="13" spans="1:117" x14ac:dyDescent="0.25">
      <c r="A13" s="404"/>
      <c r="B13" s="403"/>
      <c r="C13" s="403" t="s">
        <v>712</v>
      </c>
      <c r="D13" s="403" t="s">
        <v>724</v>
      </c>
      <c r="E13" s="403" t="s">
        <v>470</v>
      </c>
      <c r="F13" s="405">
        <v>6723.8333871239993</v>
      </c>
      <c r="G13" s="405">
        <v>-470.66833709868001</v>
      </c>
      <c r="H13" s="405">
        <v>6253.165050025319</v>
      </c>
      <c r="I13" s="405">
        <v>2933.3333567999998</v>
      </c>
      <c r="J13" s="406">
        <v>8.3333333999999995E-2</v>
      </c>
      <c r="K13" s="407">
        <v>8.3333333999999995E-2</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row>
    <row r="14" spans="1:117" x14ac:dyDescent="0.25">
      <c r="A14" s="404"/>
      <c r="B14" s="403"/>
      <c r="C14" s="403" t="s">
        <v>743</v>
      </c>
      <c r="D14" s="403" t="s">
        <v>753</v>
      </c>
      <c r="E14" s="403" t="s">
        <v>197</v>
      </c>
      <c r="F14" s="405">
        <v>0</v>
      </c>
      <c r="G14" s="405">
        <v>0</v>
      </c>
      <c r="H14" s="405">
        <v>0</v>
      </c>
      <c r="I14" s="405">
        <v>0</v>
      </c>
      <c r="J14" s="406">
        <v>0</v>
      </c>
      <c r="K14" s="407">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row>
    <row r="15" spans="1:117" x14ac:dyDescent="0.25">
      <c r="A15" s="404" t="s">
        <v>441</v>
      </c>
      <c r="B15" s="403"/>
      <c r="C15" s="403"/>
      <c r="D15" s="403"/>
      <c r="E15" s="403"/>
      <c r="F15" s="405">
        <v>71515.833683315985</v>
      </c>
      <c r="G15" s="405">
        <v>-5006.1083578321195</v>
      </c>
      <c r="H15" s="405">
        <v>66509.725325483872</v>
      </c>
      <c r="I15" s="405">
        <v>9816.6667215999987</v>
      </c>
      <c r="J15" s="406">
        <v>1.2500000059999998</v>
      </c>
      <c r="K15" s="407">
        <v>1.2500000059999998</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row>
    <row r="16" spans="1:117" x14ac:dyDescent="0.25">
      <c r="A16" s="404">
        <v>2193</v>
      </c>
      <c r="B16" s="403" t="s">
        <v>499</v>
      </c>
      <c r="C16" s="403" t="s">
        <v>532</v>
      </c>
      <c r="D16" s="403" t="s">
        <v>537</v>
      </c>
      <c r="E16" s="403" t="s">
        <v>147</v>
      </c>
      <c r="F16" s="405">
        <v>68494.399733427214</v>
      </c>
      <c r="G16" s="405">
        <v>-4794.6079813399056</v>
      </c>
      <c r="H16" s="405">
        <v>63699.791752087309</v>
      </c>
      <c r="I16" s="405">
        <v>7276.6666383466672</v>
      </c>
      <c r="J16" s="406">
        <v>1.2333333285333334</v>
      </c>
      <c r="K16" s="407">
        <v>1.2333333285333334</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row>
    <row r="17" spans="1:117" x14ac:dyDescent="0.25">
      <c r="A17" s="404"/>
      <c r="B17" s="403"/>
      <c r="C17" s="403" t="s">
        <v>872</v>
      </c>
      <c r="D17" s="403" t="s">
        <v>889</v>
      </c>
      <c r="E17" s="403" t="s">
        <v>9</v>
      </c>
      <c r="F17" s="405">
        <v>1758.6</v>
      </c>
      <c r="G17" s="405">
        <v>-123.102</v>
      </c>
      <c r="H17" s="405">
        <v>1635.4979999999998</v>
      </c>
      <c r="I17" s="405">
        <v>295</v>
      </c>
      <c r="J17" s="406">
        <v>0.05</v>
      </c>
      <c r="K17" s="407">
        <v>0.05</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row>
    <row r="18" spans="1:117" x14ac:dyDescent="0.25">
      <c r="A18" s="404" t="s">
        <v>476</v>
      </c>
      <c r="B18" s="403"/>
      <c r="C18" s="403"/>
      <c r="D18" s="403"/>
      <c r="E18" s="403"/>
      <c r="F18" s="405">
        <v>70252.999733427219</v>
      </c>
      <c r="G18" s="405">
        <v>-4917.7099813399054</v>
      </c>
      <c r="H18" s="405">
        <v>65335.289752087308</v>
      </c>
      <c r="I18" s="405">
        <v>7571.6666383466672</v>
      </c>
      <c r="J18" s="406">
        <v>1.2833333285333335</v>
      </c>
      <c r="K18" s="407">
        <v>1.2833333285333335</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row>
    <row r="19" spans="1:117" x14ac:dyDescent="0.25">
      <c r="A19" s="404">
        <v>5740</v>
      </c>
      <c r="B19" s="403" t="s">
        <v>365</v>
      </c>
      <c r="C19" s="403" t="s">
        <v>524</v>
      </c>
      <c r="D19" s="403" t="s">
        <v>528</v>
      </c>
      <c r="E19" s="403" t="s">
        <v>147</v>
      </c>
      <c r="F19" s="405">
        <v>0</v>
      </c>
      <c r="G19" s="405">
        <v>0</v>
      </c>
      <c r="H19" s="405">
        <v>0</v>
      </c>
      <c r="I19" s="405">
        <v>0</v>
      </c>
      <c r="J19" s="406">
        <v>0</v>
      </c>
      <c r="K19" s="407">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row>
    <row r="20" spans="1:117" x14ac:dyDescent="0.25">
      <c r="A20" s="404"/>
      <c r="B20" s="403"/>
      <c r="C20" s="403"/>
      <c r="D20" s="403"/>
      <c r="E20" s="403" t="s">
        <v>499</v>
      </c>
      <c r="F20" s="405">
        <v>0</v>
      </c>
      <c r="G20" s="405">
        <v>0</v>
      </c>
      <c r="H20" s="405">
        <v>0</v>
      </c>
      <c r="I20" s="405">
        <v>0</v>
      </c>
      <c r="J20" s="406">
        <v>0</v>
      </c>
      <c r="K20" s="407">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row>
    <row r="21" spans="1:117" x14ac:dyDescent="0.25">
      <c r="A21" s="404"/>
      <c r="B21" s="403"/>
      <c r="C21" s="403" t="s">
        <v>526</v>
      </c>
      <c r="D21" s="403" t="s">
        <v>530</v>
      </c>
      <c r="E21" s="403" t="s">
        <v>147</v>
      </c>
      <c r="F21" s="405">
        <v>0</v>
      </c>
      <c r="G21" s="405">
        <v>0</v>
      </c>
      <c r="H21" s="405">
        <v>0</v>
      </c>
      <c r="I21" s="405">
        <v>0</v>
      </c>
      <c r="J21" s="406">
        <v>0</v>
      </c>
      <c r="K21" s="407">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row>
    <row r="22" spans="1:117" x14ac:dyDescent="0.25">
      <c r="A22" s="404"/>
      <c r="B22" s="403"/>
      <c r="C22" s="403"/>
      <c r="D22" s="403"/>
      <c r="E22" s="403" t="s">
        <v>499</v>
      </c>
      <c r="F22" s="405">
        <v>0</v>
      </c>
      <c r="G22" s="405">
        <v>0</v>
      </c>
      <c r="H22" s="405">
        <v>0</v>
      </c>
      <c r="I22" s="405">
        <v>0</v>
      </c>
      <c r="J22" s="406">
        <v>0</v>
      </c>
      <c r="K22" s="407">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row>
    <row r="23" spans="1:117" x14ac:dyDescent="0.25">
      <c r="A23" s="404"/>
      <c r="B23" s="403"/>
      <c r="C23" s="403" t="s">
        <v>607</v>
      </c>
      <c r="D23" s="403" t="s">
        <v>632</v>
      </c>
      <c r="E23" s="403" t="s">
        <v>147</v>
      </c>
      <c r="F23" s="405">
        <v>175864.00196227201</v>
      </c>
      <c r="G23" s="405">
        <v>-12310.480137359042</v>
      </c>
      <c r="H23" s="405">
        <v>163553.52182491298</v>
      </c>
      <c r="I23" s="405">
        <v>18683.333541800002</v>
      </c>
      <c r="J23" s="406">
        <v>3.1666667020000001</v>
      </c>
      <c r="K23" s="407">
        <v>3.1666667020000001</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row>
    <row r="24" spans="1:117" x14ac:dyDescent="0.25">
      <c r="A24" s="404"/>
      <c r="B24" s="403"/>
      <c r="C24" s="403"/>
      <c r="D24" s="403"/>
      <c r="E24" s="403" t="s">
        <v>499</v>
      </c>
      <c r="F24" s="405">
        <v>175864.00196227201</v>
      </c>
      <c r="G24" s="405">
        <v>-12310.480137359042</v>
      </c>
      <c r="H24" s="405">
        <v>163553.52182491298</v>
      </c>
      <c r="I24" s="405">
        <v>18683.333541800002</v>
      </c>
      <c r="J24" s="406">
        <v>3.1666667020000001</v>
      </c>
      <c r="K24" s="407">
        <v>3.1666667020000001</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x14ac:dyDescent="0.25">
      <c r="A25" s="404" t="s">
        <v>477</v>
      </c>
      <c r="B25" s="403"/>
      <c r="C25" s="403"/>
      <c r="D25" s="403"/>
      <c r="E25" s="403"/>
      <c r="F25" s="405">
        <v>351728.00392454403</v>
      </c>
      <c r="G25" s="405">
        <v>-24620.960274718083</v>
      </c>
      <c r="H25" s="405">
        <v>327107.04364982597</v>
      </c>
      <c r="I25" s="405">
        <v>37366.667083600005</v>
      </c>
      <c r="J25" s="406">
        <v>6.3333334040000002</v>
      </c>
      <c r="K25" s="407">
        <v>6.3333334040000002</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row>
    <row r="26" spans="1:117" x14ac:dyDescent="0.25">
      <c r="A26" s="408" t="s">
        <v>436</v>
      </c>
      <c r="B26" s="409"/>
      <c r="C26" s="409"/>
      <c r="D26" s="409"/>
      <c r="E26" s="409"/>
      <c r="F26" s="410">
        <v>493496.83734128717</v>
      </c>
      <c r="G26" s="410">
        <v>-34544.778613890114</v>
      </c>
      <c r="H26" s="410">
        <v>458952.05872739712</v>
      </c>
      <c r="I26" s="410">
        <v>54755.000443546669</v>
      </c>
      <c r="J26" s="411">
        <v>8.8666667385333344</v>
      </c>
      <c r="K26" s="412">
        <v>8.8666667385333344</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row>
    <row r="27" spans="1:117"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row>
    <row r="28" spans="1:117"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row>
    <row r="29" spans="1:117"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row>
    <row r="30" spans="1:117"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row>
    <row r="31" spans="1:117"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row>
    <row r="32" spans="1:117"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row>
    <row r="33" spans="1:117"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row>
    <row r="34" spans="1:117"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row>
    <row r="35" spans="1:117"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row>
    <row r="36" spans="1:117"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row>
    <row r="37" spans="1:117"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row>
    <row r="38" spans="1:117"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row>
    <row r="39" spans="1:117"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row>
    <row r="40" spans="1:117"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row>
    <row r="41" spans="1:117"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row>
    <row r="42" spans="1:117"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row>
    <row r="43" spans="1:117"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row>
    <row r="44" spans="1:117"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row>
    <row r="45" spans="1:117"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row>
    <row r="46" spans="1:117"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row>
    <row r="47" spans="1:117"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row>
    <row r="48" spans="1:117"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row>
    <row r="49" spans="1:117"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row>
    <row r="50" spans="1:117"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row>
    <row r="51" spans="1:117"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row>
    <row r="52" spans="1:117"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row>
    <row r="53" spans="1:117"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row>
    <row r="54" spans="1:117"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row>
    <row r="55" spans="1:117" x14ac:dyDescent="0.25">
      <c r="A55"/>
      <c r="B55"/>
      <c r="C55"/>
      <c r="D55"/>
      <c r="E55"/>
      <c r="F55"/>
      <c r="G55"/>
      <c r="H55"/>
      <c r="I55"/>
      <c r="J55"/>
      <c r="K55"/>
      <c r="L55"/>
    </row>
    <row r="56" spans="1:117" x14ac:dyDescent="0.25">
      <c r="A56"/>
      <c r="B56"/>
      <c r="C56"/>
      <c r="D56"/>
      <c r="E56"/>
      <c r="F56"/>
      <c r="G56"/>
      <c r="H56"/>
      <c r="I56"/>
      <c r="J56"/>
      <c r="K56"/>
      <c r="L56"/>
    </row>
    <row r="57" spans="1:117" x14ac:dyDescent="0.25">
      <c r="A57"/>
      <c r="B57"/>
      <c r="C57"/>
      <c r="D57"/>
      <c r="E57"/>
      <c r="F57"/>
      <c r="G57"/>
      <c r="H57"/>
      <c r="I57"/>
      <c r="J57"/>
      <c r="K57"/>
      <c r="L57"/>
    </row>
    <row r="58" spans="1:117" x14ac:dyDescent="0.25">
      <c r="A58"/>
      <c r="B58"/>
      <c r="C58"/>
      <c r="D58"/>
      <c r="E58"/>
      <c r="F58"/>
      <c r="G58"/>
      <c r="H58"/>
      <c r="I58"/>
      <c r="J58"/>
      <c r="K58"/>
      <c r="L58"/>
    </row>
    <row r="59" spans="1:117" x14ac:dyDescent="0.25">
      <c r="A59"/>
      <c r="B59"/>
      <c r="C59"/>
      <c r="D59"/>
      <c r="E59"/>
      <c r="F59"/>
      <c r="G59"/>
      <c r="H59"/>
      <c r="I59"/>
      <c r="J59"/>
      <c r="K59"/>
      <c r="L59"/>
    </row>
    <row r="60" spans="1:117" x14ac:dyDescent="0.25">
      <c r="A60"/>
      <c r="B60"/>
      <c r="C60"/>
      <c r="D60"/>
      <c r="E60"/>
      <c r="F60"/>
      <c r="G60"/>
      <c r="H60"/>
      <c r="I60"/>
      <c r="J60"/>
      <c r="K60"/>
      <c r="L60"/>
    </row>
    <row r="61" spans="1:117" x14ac:dyDescent="0.25">
      <c r="A61"/>
      <c r="B61"/>
      <c r="C61"/>
      <c r="D61"/>
      <c r="E61"/>
      <c r="F61"/>
      <c r="G61"/>
      <c r="H61"/>
      <c r="I61"/>
      <c r="J61"/>
      <c r="K61"/>
      <c r="L61"/>
    </row>
    <row r="62" spans="1:117" x14ac:dyDescent="0.25">
      <c r="A62"/>
      <c r="B62"/>
      <c r="C62"/>
      <c r="D62"/>
      <c r="E62"/>
      <c r="F62"/>
      <c r="G62"/>
      <c r="H62"/>
      <c r="I62"/>
      <c r="J62"/>
      <c r="K62"/>
      <c r="L62"/>
    </row>
    <row r="63" spans="1:117" x14ac:dyDescent="0.25">
      <c r="A63"/>
      <c r="B63"/>
      <c r="C63"/>
      <c r="D63"/>
      <c r="E63"/>
      <c r="F63"/>
      <c r="G63"/>
      <c r="H63"/>
      <c r="I63"/>
      <c r="J63"/>
      <c r="K63"/>
      <c r="L63"/>
    </row>
    <row r="64" spans="1:117"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row>
    <row r="275" spans="1:12" x14ac:dyDescent="0.25">
      <c r="A275"/>
      <c r="B275"/>
      <c r="C275"/>
      <c r="D275"/>
      <c r="E275"/>
      <c r="F275"/>
      <c r="G275"/>
      <c r="H275"/>
      <c r="I275"/>
      <c r="J275"/>
      <c r="K275"/>
    </row>
    <row r="276" spans="1:12" x14ac:dyDescent="0.25">
      <c r="A276"/>
      <c r="B276"/>
      <c r="C276"/>
      <c r="D276"/>
      <c r="E276"/>
      <c r="F276"/>
      <c r="G276"/>
      <c r="H276"/>
      <c r="I276"/>
      <c r="J276"/>
      <c r="K276"/>
    </row>
    <row r="277" spans="1:12" x14ac:dyDescent="0.25">
      <c r="A277"/>
      <c r="B277"/>
      <c r="C277"/>
      <c r="D277"/>
      <c r="E277"/>
      <c r="F277"/>
      <c r="G277"/>
      <c r="H277"/>
      <c r="I277"/>
      <c r="J277"/>
      <c r="K277"/>
    </row>
    <row r="278" spans="1:12" x14ac:dyDescent="0.25">
      <c r="A278"/>
      <c r="B278"/>
      <c r="C278"/>
      <c r="D278"/>
      <c r="E278"/>
      <c r="F278"/>
      <c r="G278"/>
      <c r="H278"/>
      <c r="I278"/>
      <c r="J278"/>
      <c r="K278"/>
    </row>
    <row r="279" spans="1:12" x14ac:dyDescent="0.25">
      <c r="A279"/>
      <c r="B279"/>
      <c r="C279"/>
      <c r="D279"/>
      <c r="E279"/>
      <c r="F279"/>
      <c r="G279"/>
      <c r="H279"/>
      <c r="I279"/>
      <c r="J279"/>
      <c r="K279"/>
    </row>
    <row r="280" spans="1:12" x14ac:dyDescent="0.25">
      <c r="A280"/>
      <c r="B280"/>
      <c r="C280"/>
      <c r="D280"/>
      <c r="E280"/>
      <c r="F280"/>
      <c r="G280"/>
      <c r="H280"/>
      <c r="I280"/>
      <c r="J280"/>
      <c r="K280"/>
    </row>
    <row r="281" spans="1:12" x14ac:dyDescent="0.25">
      <c r="A281"/>
      <c r="B281"/>
      <c r="C281"/>
      <c r="D281"/>
      <c r="E281"/>
      <c r="F281"/>
      <c r="G281"/>
      <c r="H281"/>
      <c r="I281"/>
      <c r="J281"/>
      <c r="K281"/>
    </row>
    <row r="282" spans="1:12" x14ac:dyDescent="0.25">
      <c r="A282"/>
      <c r="B282"/>
      <c r="C282"/>
      <c r="D282"/>
      <c r="E282"/>
      <c r="F282"/>
      <c r="G282"/>
      <c r="H282"/>
      <c r="I282"/>
      <c r="J282"/>
      <c r="K282"/>
    </row>
    <row r="283" spans="1:12" x14ac:dyDescent="0.25">
      <c r="A283"/>
      <c r="B283"/>
      <c r="C283"/>
      <c r="D283"/>
      <c r="E283"/>
      <c r="F283"/>
      <c r="G283"/>
      <c r="H283"/>
      <c r="I283"/>
      <c r="J283"/>
      <c r="K283"/>
    </row>
    <row r="284" spans="1:12" x14ac:dyDescent="0.25">
      <c r="A284"/>
      <c r="B284"/>
      <c r="C284"/>
      <c r="D284"/>
      <c r="E284"/>
      <c r="F284"/>
      <c r="G284"/>
      <c r="H284"/>
      <c r="I284"/>
      <c r="J284"/>
      <c r="K284"/>
    </row>
    <row r="285" spans="1:12" x14ac:dyDescent="0.25">
      <c r="A285"/>
      <c r="B285"/>
      <c r="C285"/>
      <c r="D285"/>
      <c r="E285"/>
      <c r="F285"/>
      <c r="G285"/>
      <c r="H285"/>
      <c r="I285"/>
      <c r="J285"/>
      <c r="K285"/>
    </row>
    <row r="286" spans="1:12" x14ac:dyDescent="0.25">
      <c r="A286"/>
      <c r="B286"/>
      <c r="C286"/>
      <c r="D286"/>
      <c r="E286"/>
      <c r="F286"/>
      <c r="G286"/>
      <c r="H286"/>
      <c r="I286"/>
      <c r="J286"/>
      <c r="K286"/>
    </row>
    <row r="287" spans="1:12" x14ac:dyDescent="0.25">
      <c r="A287"/>
      <c r="B287"/>
      <c r="C287"/>
      <c r="D287"/>
      <c r="E287"/>
      <c r="F287"/>
      <c r="G287"/>
      <c r="H287"/>
      <c r="I287"/>
      <c r="J287"/>
      <c r="K287"/>
    </row>
    <row r="288" spans="1:12" x14ac:dyDescent="0.25">
      <c r="A288"/>
      <c r="B288"/>
      <c r="C288"/>
      <c r="D288"/>
      <c r="E288"/>
      <c r="F288"/>
      <c r="G288"/>
      <c r="H288"/>
      <c r="I288"/>
      <c r="J288"/>
      <c r="K288"/>
    </row>
    <row r="289" spans="1:11" x14ac:dyDescent="0.25">
      <c r="A289"/>
      <c r="B289"/>
      <c r="C289"/>
      <c r="D289"/>
      <c r="E289"/>
      <c r="F289"/>
      <c r="G289"/>
      <c r="H289"/>
      <c r="I289"/>
      <c r="J289"/>
      <c r="K289"/>
    </row>
    <row r="290" spans="1:11" x14ac:dyDescent="0.25">
      <c r="A290"/>
      <c r="B290"/>
      <c r="C290"/>
      <c r="D290"/>
      <c r="E290"/>
      <c r="F290"/>
      <c r="G290"/>
      <c r="H290"/>
      <c r="I290"/>
      <c r="J290"/>
      <c r="K290"/>
    </row>
    <row r="291" spans="1:11" x14ac:dyDescent="0.25">
      <c r="A291"/>
      <c r="B291"/>
      <c r="C291"/>
      <c r="D291"/>
      <c r="E291"/>
      <c r="F291"/>
      <c r="G291"/>
      <c r="H291"/>
      <c r="I291"/>
      <c r="J291"/>
      <c r="K291"/>
    </row>
    <row r="292" spans="1:11" x14ac:dyDescent="0.25">
      <c r="A292"/>
      <c r="B292"/>
      <c r="C292"/>
      <c r="D292"/>
      <c r="E292"/>
      <c r="F292"/>
      <c r="G292"/>
      <c r="H292"/>
      <c r="I292"/>
      <c r="J292"/>
      <c r="K292"/>
    </row>
    <row r="293" spans="1:11" x14ac:dyDescent="0.25">
      <c r="A293"/>
      <c r="B293"/>
      <c r="C293"/>
      <c r="D293"/>
      <c r="E293"/>
      <c r="F293"/>
      <c r="G293"/>
      <c r="H293"/>
      <c r="I293"/>
      <c r="J293"/>
      <c r="K293"/>
    </row>
    <row r="294" spans="1:11" x14ac:dyDescent="0.25">
      <c r="A294"/>
      <c r="B294"/>
      <c r="C294"/>
      <c r="D294"/>
      <c r="E294"/>
      <c r="F294"/>
      <c r="G294"/>
      <c r="H294"/>
      <c r="I294"/>
      <c r="J294"/>
      <c r="K294"/>
    </row>
    <row r="295" spans="1:11" x14ac:dyDescent="0.25">
      <c r="A295"/>
      <c r="B295"/>
      <c r="C295"/>
      <c r="D295"/>
      <c r="E295"/>
      <c r="F295"/>
      <c r="G295"/>
      <c r="H295"/>
      <c r="I295"/>
      <c r="J295"/>
      <c r="K295"/>
    </row>
    <row r="296" spans="1:11" x14ac:dyDescent="0.25">
      <c r="A296"/>
      <c r="B296"/>
      <c r="C296"/>
      <c r="D296"/>
      <c r="E296"/>
      <c r="F296"/>
      <c r="G296"/>
      <c r="H296"/>
      <c r="I296"/>
      <c r="J296"/>
      <c r="K296"/>
    </row>
    <row r="297" spans="1:11" x14ac:dyDescent="0.25">
      <c r="A297"/>
      <c r="B297"/>
      <c r="C297"/>
      <c r="D297"/>
      <c r="E297"/>
      <c r="F297"/>
      <c r="G297"/>
      <c r="H297"/>
      <c r="I297"/>
      <c r="J297"/>
      <c r="K297"/>
    </row>
    <row r="298" spans="1:11" x14ac:dyDescent="0.25">
      <c r="A298"/>
      <c r="B298"/>
      <c r="C298"/>
      <c r="D298"/>
      <c r="E298"/>
      <c r="F298"/>
      <c r="G298"/>
      <c r="H298"/>
      <c r="I298"/>
      <c r="J298"/>
      <c r="K298"/>
    </row>
    <row r="299" spans="1:11" x14ac:dyDescent="0.25">
      <c r="A299"/>
      <c r="B299"/>
      <c r="C299"/>
      <c r="D299"/>
      <c r="E299"/>
      <c r="F299"/>
      <c r="G299"/>
      <c r="H299"/>
      <c r="I299"/>
      <c r="J299"/>
      <c r="K299"/>
    </row>
    <row r="300" spans="1:11" x14ac:dyDescent="0.25">
      <c r="A300"/>
      <c r="B300"/>
      <c r="C300"/>
      <c r="D300"/>
      <c r="E300"/>
      <c r="F300"/>
      <c r="G300"/>
      <c r="H300"/>
      <c r="I300"/>
      <c r="J300"/>
      <c r="K300"/>
    </row>
    <row r="301" spans="1:11" x14ac:dyDescent="0.25">
      <c r="A301"/>
      <c r="B301"/>
      <c r="C301"/>
      <c r="D301"/>
      <c r="E301"/>
      <c r="F301"/>
      <c r="G301"/>
      <c r="H301"/>
      <c r="I301"/>
      <c r="J301"/>
      <c r="K301"/>
    </row>
    <row r="302" spans="1:11" x14ac:dyDescent="0.25">
      <c r="A302"/>
      <c r="B302"/>
      <c r="C302"/>
      <c r="D302"/>
      <c r="E302"/>
      <c r="F302"/>
      <c r="G302"/>
      <c r="H302"/>
      <c r="I302"/>
      <c r="J302"/>
      <c r="K302"/>
    </row>
    <row r="303" spans="1:11" x14ac:dyDescent="0.25">
      <c r="A303"/>
      <c r="B303"/>
      <c r="C303"/>
      <c r="D303"/>
      <c r="E303"/>
      <c r="F303"/>
      <c r="G303"/>
      <c r="H303"/>
      <c r="I303"/>
      <c r="J303"/>
      <c r="K303"/>
    </row>
    <row r="304" spans="1:11" x14ac:dyDescent="0.25">
      <c r="A304"/>
      <c r="B304"/>
      <c r="C304"/>
      <c r="D304"/>
      <c r="E304"/>
      <c r="F304"/>
      <c r="G304"/>
      <c r="H304"/>
      <c r="I304"/>
      <c r="J304"/>
      <c r="K304"/>
    </row>
    <row r="305" spans="1:11" x14ac:dyDescent="0.25">
      <c r="A305"/>
      <c r="B305"/>
      <c r="C305"/>
      <c r="D305"/>
      <c r="E305"/>
      <c r="F305"/>
      <c r="G305"/>
      <c r="H305"/>
      <c r="I305"/>
      <c r="J305"/>
      <c r="K305"/>
    </row>
    <row r="306" spans="1:11" x14ac:dyDescent="0.25">
      <c r="A306"/>
      <c r="B306"/>
      <c r="C306"/>
      <c r="D306"/>
      <c r="E306"/>
      <c r="F306"/>
      <c r="G306"/>
      <c r="H306"/>
      <c r="I306"/>
      <c r="J306"/>
      <c r="K306"/>
    </row>
    <row r="307" spans="1:11" x14ac:dyDescent="0.25">
      <c r="A307"/>
      <c r="B307"/>
      <c r="C307"/>
      <c r="D307"/>
      <c r="E307"/>
      <c r="F307"/>
      <c r="G307"/>
      <c r="H307"/>
      <c r="I307"/>
      <c r="J307"/>
      <c r="K307"/>
    </row>
    <row r="308" spans="1:11" x14ac:dyDescent="0.25">
      <c r="A308"/>
      <c r="B308"/>
      <c r="C308"/>
      <c r="D308"/>
      <c r="E308"/>
      <c r="F308"/>
      <c r="G308"/>
      <c r="H308"/>
      <c r="I308"/>
      <c r="J308"/>
      <c r="K308"/>
    </row>
    <row r="309" spans="1:11" x14ac:dyDescent="0.25">
      <c r="A309"/>
      <c r="B309"/>
      <c r="C309"/>
      <c r="D309"/>
      <c r="E309"/>
      <c r="F309"/>
      <c r="G309"/>
      <c r="H309"/>
      <c r="I309"/>
      <c r="J309"/>
      <c r="K309"/>
    </row>
    <row r="310" spans="1:11" x14ac:dyDescent="0.25">
      <c r="A310"/>
      <c r="B310"/>
      <c r="C310"/>
      <c r="D310"/>
      <c r="E310"/>
      <c r="F310"/>
      <c r="G310"/>
      <c r="H310"/>
      <c r="I310"/>
      <c r="J310"/>
      <c r="K310"/>
    </row>
    <row r="311" spans="1:11" x14ac:dyDescent="0.25">
      <c r="A311"/>
      <c r="B311"/>
      <c r="C311"/>
      <c r="D311"/>
      <c r="E311"/>
      <c r="F311"/>
      <c r="G311"/>
      <c r="H311"/>
      <c r="I311"/>
      <c r="J311"/>
      <c r="K311"/>
    </row>
    <row r="312" spans="1:11" x14ac:dyDescent="0.25">
      <c r="A312"/>
      <c r="B312"/>
      <c r="C312"/>
      <c r="D312"/>
      <c r="E312"/>
      <c r="F312"/>
      <c r="G312"/>
      <c r="H312"/>
      <c r="I312"/>
      <c r="J312"/>
      <c r="K312"/>
    </row>
    <row r="313" spans="1:11" x14ac:dyDescent="0.25">
      <c r="A313"/>
      <c r="B313"/>
      <c r="C313"/>
      <c r="D313"/>
      <c r="E313"/>
      <c r="F313"/>
      <c r="G313"/>
      <c r="H313"/>
      <c r="I313"/>
      <c r="J313"/>
      <c r="K313"/>
    </row>
    <row r="314" spans="1:11" x14ac:dyDescent="0.25">
      <c r="A314"/>
      <c r="B314"/>
      <c r="C314"/>
      <c r="D314"/>
      <c r="E314"/>
      <c r="F314"/>
      <c r="G314"/>
      <c r="H314"/>
      <c r="I314"/>
      <c r="J314"/>
      <c r="K314"/>
    </row>
    <row r="315" spans="1:11" x14ac:dyDescent="0.25">
      <c r="A315"/>
      <c r="B315"/>
      <c r="C315"/>
      <c r="D315"/>
      <c r="E315"/>
      <c r="F315"/>
      <c r="G315"/>
      <c r="H315"/>
      <c r="I315"/>
      <c r="J315"/>
      <c r="K315"/>
    </row>
    <row r="316" spans="1:11" x14ac:dyDescent="0.25">
      <c r="A316"/>
      <c r="B316"/>
      <c r="C316"/>
      <c r="D316"/>
      <c r="E316"/>
      <c r="F316"/>
      <c r="G316"/>
      <c r="H316"/>
      <c r="I316"/>
      <c r="J316"/>
      <c r="K316"/>
    </row>
    <row r="317" spans="1:11" x14ac:dyDescent="0.25">
      <c r="A317"/>
      <c r="B317"/>
      <c r="C317"/>
      <c r="D317"/>
      <c r="E317"/>
      <c r="F317"/>
      <c r="G317"/>
      <c r="H317"/>
      <c r="I317"/>
      <c r="J317"/>
      <c r="K317"/>
    </row>
    <row r="318" spans="1:11" x14ac:dyDescent="0.25">
      <c r="A318"/>
      <c r="B318"/>
      <c r="C318"/>
      <c r="D318"/>
      <c r="E318"/>
      <c r="F318"/>
      <c r="G318"/>
      <c r="H318"/>
      <c r="I318"/>
      <c r="J318"/>
      <c r="K318"/>
    </row>
    <row r="319" spans="1:11" x14ac:dyDescent="0.25">
      <c r="A319"/>
      <c r="B319"/>
      <c r="C319"/>
      <c r="D319"/>
      <c r="E319"/>
      <c r="F319"/>
      <c r="G319"/>
      <c r="H319"/>
      <c r="I319"/>
      <c r="J319"/>
      <c r="K319"/>
    </row>
    <row r="320" spans="1:11" x14ac:dyDescent="0.25">
      <c r="A320"/>
      <c r="B320"/>
      <c r="C320"/>
      <c r="D320"/>
      <c r="E320"/>
      <c r="F320"/>
      <c r="G320"/>
      <c r="H320"/>
      <c r="I320"/>
      <c r="J320"/>
      <c r="K320"/>
    </row>
    <row r="321" spans="1:11" x14ac:dyDescent="0.25">
      <c r="A321"/>
      <c r="B321"/>
      <c r="C321"/>
      <c r="D321"/>
      <c r="E321"/>
      <c r="F321"/>
      <c r="G321"/>
      <c r="H321"/>
      <c r="I321"/>
      <c r="J321"/>
      <c r="K321"/>
    </row>
    <row r="322" spans="1:11" x14ac:dyDescent="0.25">
      <c r="A322"/>
      <c r="B322"/>
      <c r="C322"/>
      <c r="D322"/>
      <c r="E322"/>
      <c r="F322"/>
      <c r="G322"/>
      <c r="H322"/>
      <c r="I322"/>
      <c r="J322"/>
      <c r="K322"/>
    </row>
    <row r="323" spans="1:11" x14ac:dyDescent="0.25">
      <c r="A323"/>
      <c r="B323"/>
      <c r="C323"/>
      <c r="D323"/>
      <c r="E323"/>
      <c r="F323"/>
      <c r="G323"/>
      <c r="H323"/>
      <c r="I323"/>
      <c r="J323"/>
      <c r="K323"/>
    </row>
    <row r="324" spans="1:11" x14ac:dyDescent="0.25">
      <c r="A324"/>
      <c r="B324"/>
      <c r="C324"/>
      <c r="D324"/>
      <c r="E324"/>
      <c r="F324"/>
      <c r="G324"/>
      <c r="H324"/>
      <c r="I324"/>
      <c r="J324"/>
      <c r="K324"/>
    </row>
    <row r="325" spans="1:11" x14ac:dyDescent="0.25">
      <c r="A325"/>
      <c r="B325"/>
      <c r="C325"/>
      <c r="D325"/>
      <c r="E325"/>
      <c r="F325"/>
      <c r="G325"/>
      <c r="H325"/>
      <c r="I325"/>
      <c r="J325"/>
      <c r="K325"/>
    </row>
    <row r="326" spans="1:11" x14ac:dyDescent="0.25">
      <c r="A326"/>
      <c r="B326"/>
      <c r="C326"/>
      <c r="D326"/>
      <c r="E326"/>
      <c r="F326"/>
      <c r="G326"/>
      <c r="H326"/>
      <c r="I326"/>
      <c r="J326"/>
      <c r="K326"/>
    </row>
  </sheetData>
  <sheetProtection sheet="1" objects="1" scenarios="1"/>
  <mergeCells count="2">
    <mergeCell ref="D2:E2"/>
    <mergeCell ref="A2:B2"/>
  </mergeCells>
  <phoneticPr fontId="40" type="noConversion"/>
  <printOptions horizontalCentered="1" gridLines="1"/>
  <pageMargins left="0.31496062992125984" right="0.31496062992125984" top="0.94488188976377963" bottom="0.35433070866141736" header="0.31496062992125984" footer="0.11811023622047245"/>
  <pageSetup paperSize="9" scale="25" orientation="landscape" r:id="rId2"/>
  <headerFooter>
    <oddHeader>&amp;R&amp;F</oddHeader>
    <oddFooter>Sida &amp;P av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8EEF"/>
    <pageSetUpPr fitToPage="1"/>
  </sheetPr>
  <dimension ref="A1:BN747"/>
  <sheetViews>
    <sheetView zoomScale="110" zoomScaleNormal="110" zoomScalePageLayoutView="110" workbookViewId="0">
      <pane xSplit="1" ySplit="1" topLeftCell="B59" activePane="bottomRight" state="frozen"/>
      <selection pane="topRight" activeCell="B1" sqref="B1"/>
      <selection pane="bottomLeft" activeCell="A2" sqref="A2"/>
      <selection pane="bottomRight" activeCell="R134" sqref="R134"/>
    </sheetView>
  </sheetViews>
  <sheetFormatPr defaultColWidth="8.85546875" defaultRowHeight="15" x14ac:dyDescent="0.25"/>
  <cols>
    <col min="1" max="1" width="13.140625" style="32" customWidth="1"/>
    <col min="2" max="2" width="45.28515625" style="32" customWidth="1"/>
    <col min="3" max="3" width="8.5703125" style="32" customWidth="1"/>
    <col min="4" max="4" width="9.28515625" style="32" customWidth="1"/>
    <col min="5" max="5" width="9.140625" style="32" customWidth="1"/>
    <col min="6" max="6" width="6.5703125" style="32" customWidth="1"/>
    <col min="7" max="7" width="19.5703125" style="32" customWidth="1"/>
    <col min="8" max="8" width="7.28515625" style="32" customWidth="1"/>
    <col min="9" max="9" width="6.42578125" style="32" customWidth="1"/>
    <col min="10" max="10" width="11" style="32" customWidth="1"/>
    <col min="11" max="11" width="8.7109375" style="32" customWidth="1"/>
    <col min="12" max="12" width="8.28515625" style="32" customWidth="1"/>
    <col min="13" max="13" width="5.85546875" style="32" customWidth="1"/>
    <col min="14" max="14" width="6.42578125" style="32" customWidth="1"/>
    <col min="15" max="15" width="8.42578125" style="40" customWidth="1"/>
    <col min="16" max="16" width="8" style="32" customWidth="1"/>
    <col min="17" max="17" width="6.7109375" style="331" customWidth="1"/>
    <col min="18" max="18" width="12.28515625" style="32" customWidth="1"/>
    <col min="19" max="19" width="24" style="32" customWidth="1"/>
    <col min="20" max="20" width="11.42578125" style="32" customWidth="1"/>
    <col min="21" max="21" width="16.7109375" style="32" customWidth="1"/>
    <col min="22" max="25" width="11.42578125" style="41" customWidth="1"/>
    <col min="26" max="26" width="12" style="41" customWidth="1"/>
    <col min="27" max="27" width="11.42578125" style="41" customWidth="1"/>
    <col min="28" max="39" width="11.42578125" style="32" customWidth="1"/>
    <col min="40" max="40" width="17.5703125" style="32" customWidth="1"/>
    <col min="41" max="41" width="27.7109375" style="32" customWidth="1"/>
    <col min="42" max="42" width="9.42578125" style="32" customWidth="1"/>
    <col min="43" max="43" width="7.85546875" style="32" customWidth="1"/>
    <col min="44" max="44" width="7.7109375" style="32" customWidth="1"/>
    <col min="45" max="45" width="8" style="32" customWidth="1"/>
    <col min="46" max="46" width="7.140625" style="32" customWidth="1"/>
    <col min="47" max="48" width="7.5703125" style="32" customWidth="1"/>
    <col min="49" max="49" width="7.85546875" style="32" customWidth="1"/>
    <col min="50" max="50" width="10.85546875" style="32" customWidth="1"/>
    <col min="51" max="51" width="10.42578125" style="32" customWidth="1"/>
    <col min="52" max="52" width="7.85546875" style="32" customWidth="1"/>
    <col min="53" max="53" width="8.28515625" style="32" customWidth="1"/>
    <col min="54" max="54" width="7.5703125" style="32" customWidth="1"/>
    <col min="55" max="55" width="7.42578125" style="32" customWidth="1"/>
    <col min="56" max="56" width="7" style="32" customWidth="1"/>
    <col min="57" max="57" width="7.7109375" style="32" customWidth="1"/>
    <col min="58" max="58" width="7.5703125" style="32" customWidth="1"/>
    <col min="59" max="60" width="8.85546875" style="32"/>
    <col min="61" max="61" width="8" style="32" customWidth="1"/>
    <col min="62" max="62" width="8.140625" style="32" customWidth="1"/>
    <col min="63" max="63" width="7.85546875" style="32" customWidth="1"/>
    <col min="64" max="64" width="8.140625" style="32" customWidth="1"/>
    <col min="65" max="16384" width="8.85546875" style="32"/>
  </cols>
  <sheetData>
    <row r="1" spans="1:64" s="98" customFormat="1" ht="54.75" customHeight="1" x14ac:dyDescent="0.25">
      <c r="A1" s="96" t="s">
        <v>57</v>
      </c>
      <c r="B1" s="97" t="s">
        <v>83</v>
      </c>
      <c r="C1" s="97" t="s">
        <v>342</v>
      </c>
      <c r="D1" s="168" t="s">
        <v>78</v>
      </c>
      <c r="E1" s="168" t="s">
        <v>343</v>
      </c>
      <c r="F1" s="168" t="s">
        <v>79</v>
      </c>
      <c r="G1" s="169" t="s">
        <v>311</v>
      </c>
      <c r="H1" s="170" t="s">
        <v>80</v>
      </c>
      <c r="I1" s="168" t="s">
        <v>81</v>
      </c>
      <c r="J1" s="168" t="s">
        <v>344</v>
      </c>
      <c r="K1" s="168" t="s">
        <v>345</v>
      </c>
      <c r="L1" s="171" t="s">
        <v>82</v>
      </c>
      <c r="M1" s="169" t="s">
        <v>84</v>
      </c>
      <c r="N1" s="172" t="s">
        <v>85</v>
      </c>
      <c r="O1" s="173" t="s">
        <v>59</v>
      </c>
      <c r="P1" s="174" t="s">
        <v>86</v>
      </c>
      <c r="Q1" s="329" t="s">
        <v>60</v>
      </c>
      <c r="R1" s="175" t="s">
        <v>58</v>
      </c>
      <c r="S1" s="175" t="s">
        <v>0</v>
      </c>
      <c r="T1" s="175" t="s">
        <v>64</v>
      </c>
      <c r="U1" s="168" t="s">
        <v>292</v>
      </c>
      <c r="V1" s="176" t="s">
        <v>62</v>
      </c>
      <c r="W1" s="176" t="s">
        <v>63</v>
      </c>
      <c r="X1" s="176" t="s">
        <v>69</v>
      </c>
      <c r="Y1" s="176" t="s">
        <v>283</v>
      </c>
      <c r="Z1" s="176" t="s">
        <v>106</v>
      </c>
      <c r="AA1" s="176" t="s">
        <v>349</v>
      </c>
      <c r="AB1" s="177" t="s">
        <v>98</v>
      </c>
      <c r="AC1" s="177" t="s">
        <v>99</v>
      </c>
      <c r="AD1" s="177" t="s">
        <v>100</v>
      </c>
      <c r="AE1" s="177" t="s">
        <v>101</v>
      </c>
      <c r="AF1" s="177" t="s">
        <v>102</v>
      </c>
      <c r="AG1" s="177" t="s">
        <v>103</v>
      </c>
      <c r="AH1" s="177" t="s">
        <v>104</v>
      </c>
      <c r="AI1" s="177" t="s">
        <v>97</v>
      </c>
      <c r="AJ1" s="177" t="s">
        <v>439</v>
      </c>
      <c r="AK1" s="177" t="s">
        <v>284</v>
      </c>
      <c r="AL1" s="177" t="s">
        <v>105</v>
      </c>
      <c r="AM1" s="177" t="s">
        <v>277</v>
      </c>
      <c r="AN1" s="178" t="s">
        <v>346</v>
      </c>
      <c r="AO1" s="98" t="s">
        <v>341</v>
      </c>
      <c r="AP1" s="177" t="s">
        <v>443</v>
      </c>
      <c r="AQ1" s="177" t="s">
        <v>444</v>
      </c>
      <c r="AR1" s="177" t="s">
        <v>446</v>
      </c>
      <c r="AS1" s="177" t="s">
        <v>445</v>
      </c>
      <c r="AT1" s="177" t="s">
        <v>448</v>
      </c>
      <c r="AU1" s="177" t="s">
        <v>447</v>
      </c>
      <c r="AV1" s="177" t="s">
        <v>450</v>
      </c>
      <c r="AW1" s="177" t="s">
        <v>449</v>
      </c>
      <c r="AX1" s="177" t="s">
        <v>452</v>
      </c>
      <c r="AY1" s="177" t="s">
        <v>451</v>
      </c>
      <c r="AZ1" s="177" t="s">
        <v>453</v>
      </c>
      <c r="BA1" s="177" t="s">
        <v>454</v>
      </c>
      <c r="BB1" s="177" t="s">
        <v>455</v>
      </c>
      <c r="BC1" s="177" t="s">
        <v>456</v>
      </c>
      <c r="BD1" s="177" t="s">
        <v>457</v>
      </c>
      <c r="BE1" s="177" t="s">
        <v>458</v>
      </c>
      <c r="BF1" s="177" t="s">
        <v>459</v>
      </c>
      <c r="BG1" s="177" t="s">
        <v>460</v>
      </c>
      <c r="BH1" s="177" t="s">
        <v>461</v>
      </c>
      <c r="BI1" s="177" t="s">
        <v>462</v>
      </c>
      <c r="BJ1" s="177" t="s">
        <v>463</v>
      </c>
      <c r="BK1" s="177" t="s">
        <v>464</v>
      </c>
      <c r="BL1" s="177" t="s">
        <v>465</v>
      </c>
    </row>
    <row r="2" spans="1:64" ht="15" customHeight="1" x14ac:dyDescent="0.25">
      <c r="A2" s="392" t="s">
        <v>696</v>
      </c>
      <c r="B2" s="26" t="str">
        <f>VLOOKUP(A2,kurspris!$A$1:$B$304,2,FALSE)</f>
        <v>Engelska A2, nätkurs</v>
      </c>
      <c r="C2" s="56"/>
      <c r="D2" s="32" t="s">
        <v>74</v>
      </c>
      <c r="E2" s="59"/>
      <c r="F2" s="56" t="s">
        <v>892</v>
      </c>
      <c r="G2" s="59"/>
      <c r="H2" s="59"/>
      <c r="K2" s="37"/>
      <c r="L2" s="32">
        <v>50</v>
      </c>
      <c r="M2" s="32">
        <v>15</v>
      </c>
      <c r="N2" s="32">
        <v>2</v>
      </c>
      <c r="O2" s="234">
        <v>0.500000004</v>
      </c>
      <c r="P2" s="39">
        <v>1</v>
      </c>
      <c r="Q2" s="234">
        <f t="shared" ref="Q2:Q33" si="0">O2*P2</f>
        <v>0.500000004</v>
      </c>
      <c r="R2" s="32">
        <f>VLOOKUP(A2,'Ansvar kurs'!$A$1:$C$399,2,FALSE)</f>
        <v>1620</v>
      </c>
      <c r="S2" s="32" t="str">
        <f>VLOOKUP(R2,Orgenheter!$A$1:$C$166,2,FALSE)</f>
        <v>Inst för språkstudier</v>
      </c>
      <c r="T2" s="32" t="str">
        <f>VLOOKUP(R2,Orgenheter!$A$1:$C$166,3,FALSE)</f>
        <v>Hum</v>
      </c>
      <c r="U2" s="37" t="str">
        <f>VLOOKUP(D2,Program!$A$1:$B$34,2,FALSE)</f>
        <v>VAL-projektet</v>
      </c>
      <c r="V2" s="41">
        <f>VLOOKUP(A2,kurspris!$A$1:$Q$225,15,FALSE)</f>
        <v>19097</v>
      </c>
      <c r="W2" s="41">
        <f>VLOOKUP(A2,kurspris!$A$1:$Q$225,16,FALSE)</f>
        <v>16075</v>
      </c>
      <c r="X2" s="41">
        <f t="shared" ref="X2:X33" si="1">V2*O2+Q2*W2</f>
        <v>17586.000140688</v>
      </c>
      <c r="Y2" s="41">
        <f>VLOOKUP(A2,kurspris!$A$1:$Q$225,17,FALSE)</f>
        <v>5900</v>
      </c>
      <c r="Z2" s="41">
        <f t="shared" ref="Z2:Z33" si="2">Y2*O2</f>
        <v>2950.0000236000001</v>
      </c>
      <c r="AA2" s="41">
        <f t="shared" ref="AA2:AA33" si="3">X2+Z2</f>
        <v>20536.000164288002</v>
      </c>
      <c r="AB2" s="32">
        <f>VLOOKUP($A2,kurspris!$A$1:$Q$262,3,FALSE)</f>
        <v>0</v>
      </c>
      <c r="AC2" s="32">
        <f>VLOOKUP($A2,kurspris!$A$1:$Q$262,4,FALSE)</f>
        <v>1</v>
      </c>
      <c r="AD2" s="32">
        <f>VLOOKUP($A2,kurspris!$A$1:$Q$262,5,FALSE)</f>
        <v>0</v>
      </c>
      <c r="AE2" s="32">
        <f>VLOOKUP($A2,kurspris!$A$1:$Q$262,6,FALSE)</f>
        <v>0</v>
      </c>
      <c r="AF2" s="32">
        <f>VLOOKUP($A2,kurspris!$A$1:$Q$262,7,FALSE)</f>
        <v>0</v>
      </c>
      <c r="AG2" s="32">
        <f>VLOOKUP($A2,kurspris!$A$1:$Q$262,8,FALSE)</f>
        <v>0</v>
      </c>
      <c r="AH2" s="32">
        <f>VLOOKUP($A2,kurspris!$A$1:$Q$262,9,FALSE)</f>
        <v>0</v>
      </c>
      <c r="AI2" s="32">
        <f>VLOOKUP($A2,kurspris!$A$1:$Q$262,10,FALSE)</f>
        <v>0</v>
      </c>
      <c r="AJ2" s="32">
        <f>VLOOKUP($A2,kurspris!$A$1:$Q$262,11,FALSE)</f>
        <v>0</v>
      </c>
      <c r="AK2" s="32">
        <f>VLOOKUP($A2,kurspris!$A$1:$Q$262,12,FALSE)</f>
        <v>0</v>
      </c>
      <c r="AL2" s="32">
        <f>VLOOKUP($A2,kurspris!$A$1:$Q$262,13,FALSE)</f>
        <v>0</v>
      </c>
      <c r="AM2" s="32">
        <f>VLOOKUP($A2,kurspris!$A$1:$Q$262,14,FALSE)</f>
        <v>0</v>
      </c>
      <c r="AN2" s="38" t="s">
        <v>917</v>
      </c>
      <c r="AO2"/>
      <c r="AP2" s="32">
        <f t="shared" ref="AP2:AP33" si="4">$O2*AB2</f>
        <v>0</v>
      </c>
      <c r="AQ2" s="234">
        <f t="shared" ref="AQ2:AQ33" si="5">$Q2*AB2</f>
        <v>0</v>
      </c>
      <c r="AR2" s="32">
        <f t="shared" ref="AR2:AR33" si="6">$O2*AC2</f>
        <v>0.500000004</v>
      </c>
      <c r="AS2" s="234">
        <f t="shared" ref="AS2:AS33" si="7">$Q2*AC2</f>
        <v>0.500000004</v>
      </c>
      <c r="AT2" s="32">
        <f t="shared" ref="AT2:AT33" si="8">$O2*AD2</f>
        <v>0</v>
      </c>
      <c r="AU2" s="32">
        <f t="shared" ref="AU2:AU33" si="9">$Q2*AD2</f>
        <v>0</v>
      </c>
      <c r="AV2" s="32">
        <f t="shared" ref="AV2:AV33" si="10">$O2*AE2</f>
        <v>0</v>
      </c>
      <c r="AW2" s="234">
        <f t="shared" ref="AW2:AW33" si="11">$Q2*AE2</f>
        <v>0</v>
      </c>
      <c r="AX2" s="226">
        <f t="shared" ref="AX2:AX33" si="12">$O2*AF2</f>
        <v>0</v>
      </c>
      <c r="AY2" s="234">
        <f t="shared" ref="AY2:AY33" si="13">$Q2*AF2</f>
        <v>0</v>
      </c>
      <c r="AZ2" s="32">
        <f t="shared" ref="AZ2:AZ33" si="14">$O2*AG2</f>
        <v>0</v>
      </c>
      <c r="BA2" s="234">
        <f t="shared" ref="BA2:BA33" si="15">$Q2*AG2</f>
        <v>0</v>
      </c>
      <c r="BB2" s="32">
        <f t="shared" ref="BB2:BB33" si="16">$O2*AH2</f>
        <v>0</v>
      </c>
      <c r="BC2" s="234">
        <f t="shared" ref="BC2:BC33" si="17">$Q2*AH2</f>
        <v>0</v>
      </c>
      <c r="BD2" s="32">
        <f t="shared" ref="BD2:BD33" si="18">$O2*AI2</f>
        <v>0</v>
      </c>
      <c r="BE2" s="234">
        <f t="shared" ref="BE2:BE33" si="19">$Q2*AI2</f>
        <v>0</v>
      </c>
      <c r="BF2" s="32">
        <f t="shared" ref="BF2:BF33" si="20">$O2*AJ2</f>
        <v>0</v>
      </c>
      <c r="BG2" s="234">
        <f t="shared" ref="BG2:BG33" si="21">$Q2*AJ2</f>
        <v>0</v>
      </c>
      <c r="BH2" s="32">
        <f t="shared" ref="BH2:BH33" si="22">$O2*AK2</f>
        <v>0</v>
      </c>
      <c r="BI2" s="32">
        <f t="shared" ref="BI2:BI33" si="23">$O2*AL2</f>
        <v>0</v>
      </c>
      <c r="BJ2" s="234">
        <f t="shared" ref="BJ2:BJ33" si="24">$Q2*AL2</f>
        <v>0</v>
      </c>
      <c r="BK2" s="32">
        <f t="shared" ref="BK2:BK33" si="25">$O2*AM2</f>
        <v>0</v>
      </c>
      <c r="BL2" s="234">
        <f t="shared" ref="BL2:BL33" si="26">$Q2*AM2</f>
        <v>0</v>
      </c>
    </row>
    <row r="3" spans="1:64" ht="15" customHeight="1" x14ac:dyDescent="0.25">
      <c r="A3" s="392" t="s">
        <v>520</v>
      </c>
      <c r="B3" s="26" t="str">
        <f>VLOOKUP(A3,kurspris!$A$1:$B$304,2,FALSE)</f>
        <v>Engelska B2, nätkurs</v>
      </c>
      <c r="C3" s="56"/>
      <c r="D3" s="32" t="s">
        <v>74</v>
      </c>
      <c r="E3" s="59"/>
      <c r="F3" s="56" t="s">
        <v>892</v>
      </c>
      <c r="G3" s="59"/>
      <c r="H3" s="59"/>
      <c r="K3" s="37"/>
      <c r="L3" s="32">
        <v>50</v>
      </c>
      <c r="M3" s="32">
        <v>15</v>
      </c>
      <c r="N3" s="32">
        <v>1</v>
      </c>
      <c r="O3" s="234">
        <v>0.250000002</v>
      </c>
      <c r="P3" s="39">
        <v>1</v>
      </c>
      <c r="Q3" s="234">
        <f t="shared" si="0"/>
        <v>0.250000002</v>
      </c>
      <c r="R3" s="32">
        <f>VLOOKUP(A3,'Ansvar kurs'!$A$1:$C$399,2,FALSE)</f>
        <v>1620</v>
      </c>
      <c r="S3" s="32" t="str">
        <f>VLOOKUP(R3,Orgenheter!$A$1:$C$166,2,FALSE)</f>
        <v>Inst för språkstudier</v>
      </c>
      <c r="T3" s="32" t="str">
        <f>VLOOKUP(R3,Orgenheter!$A$1:$C$166,3,FALSE)</f>
        <v>Hum</v>
      </c>
      <c r="U3" s="37" t="str">
        <f>VLOOKUP(D3,Program!$A$1:$B$34,2,FALSE)</f>
        <v>VAL-projektet</v>
      </c>
      <c r="V3" s="41">
        <f>VLOOKUP(A3,kurspris!$A$1:$Q$225,15,FALSE)</f>
        <v>19097</v>
      </c>
      <c r="W3" s="41">
        <f>VLOOKUP(A3,kurspris!$A$1:$Q$225,16,FALSE)</f>
        <v>16075</v>
      </c>
      <c r="X3" s="41">
        <f t="shared" si="1"/>
        <v>8793.0000703440001</v>
      </c>
      <c r="Y3" s="41">
        <f>VLOOKUP(A3,kurspris!$A$1:$Q$225,17,FALSE)</f>
        <v>5900</v>
      </c>
      <c r="Z3" s="41">
        <f t="shared" si="2"/>
        <v>1475.0000118</v>
      </c>
      <c r="AA3" s="41">
        <f t="shared" si="3"/>
        <v>10268.000082144001</v>
      </c>
      <c r="AB3" s="32">
        <f>VLOOKUP($A3,kurspris!$A$1:$Q$262,3,FALSE)</f>
        <v>0</v>
      </c>
      <c r="AC3" s="32">
        <f>VLOOKUP($A3,kurspris!$A$1:$Q$262,4,FALSE)</f>
        <v>1</v>
      </c>
      <c r="AD3" s="32">
        <f>VLOOKUP($A3,kurspris!$A$1:$Q$262,5,FALSE)</f>
        <v>0</v>
      </c>
      <c r="AE3" s="32">
        <f>VLOOKUP($A3,kurspris!$A$1:$Q$262,6,FALSE)</f>
        <v>0</v>
      </c>
      <c r="AF3" s="32">
        <f>VLOOKUP($A3,kurspris!$A$1:$Q$262,7,FALSE)</f>
        <v>0</v>
      </c>
      <c r="AG3" s="32">
        <f>VLOOKUP($A3,kurspris!$A$1:$Q$262,8,FALSE)</f>
        <v>0</v>
      </c>
      <c r="AH3" s="32">
        <f>VLOOKUP($A3,kurspris!$A$1:$Q$262,9,FALSE)</f>
        <v>0</v>
      </c>
      <c r="AI3" s="32">
        <f>VLOOKUP($A3,kurspris!$A$1:$Q$262,10,FALSE)</f>
        <v>0</v>
      </c>
      <c r="AJ3" s="32">
        <f>VLOOKUP($A3,kurspris!$A$1:$Q$262,11,FALSE)</f>
        <v>0</v>
      </c>
      <c r="AK3" s="32">
        <f>VLOOKUP($A3,kurspris!$A$1:$Q$262,12,FALSE)</f>
        <v>0</v>
      </c>
      <c r="AL3" s="32">
        <f>VLOOKUP($A3,kurspris!$A$1:$Q$262,13,FALSE)</f>
        <v>0</v>
      </c>
      <c r="AM3" s="32">
        <f>VLOOKUP($A3,kurspris!$A$1:$Q$262,14,FALSE)</f>
        <v>0</v>
      </c>
      <c r="AN3" s="38" t="s">
        <v>917</v>
      </c>
      <c r="AO3"/>
      <c r="AP3" s="32">
        <f t="shared" si="4"/>
        <v>0</v>
      </c>
      <c r="AQ3" s="234">
        <f t="shared" si="5"/>
        <v>0</v>
      </c>
      <c r="AR3" s="32">
        <f t="shared" si="6"/>
        <v>0.250000002</v>
      </c>
      <c r="AS3" s="234">
        <f t="shared" si="7"/>
        <v>0.250000002</v>
      </c>
      <c r="AT3" s="32">
        <f t="shared" si="8"/>
        <v>0</v>
      </c>
      <c r="AU3" s="32">
        <f t="shared" si="9"/>
        <v>0</v>
      </c>
      <c r="AV3" s="32">
        <f t="shared" si="10"/>
        <v>0</v>
      </c>
      <c r="AW3" s="234">
        <f t="shared" si="11"/>
        <v>0</v>
      </c>
      <c r="AX3" s="226">
        <f t="shared" si="12"/>
        <v>0</v>
      </c>
      <c r="AY3" s="234">
        <f t="shared" si="13"/>
        <v>0</v>
      </c>
      <c r="AZ3" s="32">
        <f t="shared" si="14"/>
        <v>0</v>
      </c>
      <c r="BA3" s="234">
        <f t="shared" si="15"/>
        <v>0</v>
      </c>
      <c r="BB3" s="32">
        <f t="shared" si="16"/>
        <v>0</v>
      </c>
      <c r="BC3" s="234">
        <f t="shared" si="17"/>
        <v>0</v>
      </c>
      <c r="BD3" s="32">
        <f t="shared" si="18"/>
        <v>0</v>
      </c>
      <c r="BE3" s="234">
        <f t="shared" si="19"/>
        <v>0</v>
      </c>
      <c r="BF3" s="32">
        <f t="shared" si="20"/>
        <v>0</v>
      </c>
      <c r="BG3" s="234">
        <f t="shared" si="21"/>
        <v>0</v>
      </c>
      <c r="BH3" s="32">
        <f t="shared" si="22"/>
        <v>0</v>
      </c>
      <c r="BI3" s="32">
        <f t="shared" si="23"/>
        <v>0</v>
      </c>
      <c r="BJ3" s="234">
        <f t="shared" si="24"/>
        <v>0</v>
      </c>
      <c r="BK3" s="32">
        <f t="shared" si="25"/>
        <v>0</v>
      </c>
      <c r="BL3" s="234">
        <f t="shared" si="26"/>
        <v>0</v>
      </c>
    </row>
    <row r="4" spans="1:64" ht="15" customHeight="1" x14ac:dyDescent="0.25">
      <c r="A4" s="221" t="s">
        <v>770</v>
      </c>
      <c r="B4" s="26" t="str">
        <f>VLOOKUP(A4,kurspris!$A$1:$B$304,2,FALSE)</f>
        <v>Svenska/Nordiska språk B: Svenska språkets historia</v>
      </c>
      <c r="C4" s="56"/>
      <c r="D4" s="32" t="s">
        <v>74</v>
      </c>
      <c r="E4" s="59"/>
      <c r="F4" s="56" t="s">
        <v>892</v>
      </c>
      <c r="G4" s="59"/>
      <c r="H4" s="59"/>
      <c r="K4" s="37"/>
      <c r="L4" s="32">
        <v>50</v>
      </c>
      <c r="M4" s="32">
        <v>7.5</v>
      </c>
      <c r="N4" s="32">
        <v>1</v>
      </c>
      <c r="O4" s="234">
        <v>0.125000001</v>
      </c>
      <c r="P4" s="39">
        <v>1</v>
      </c>
      <c r="Q4" s="234">
        <f t="shared" si="0"/>
        <v>0.125000001</v>
      </c>
      <c r="R4" s="32">
        <f>VLOOKUP(A4,'Ansvar kurs'!$A$1:$C$399,2,FALSE)</f>
        <v>1620</v>
      </c>
      <c r="S4" s="32" t="str">
        <f>VLOOKUP(R4,Orgenheter!$A$1:$C$166,2,FALSE)</f>
        <v>Inst för språkstudier</v>
      </c>
      <c r="T4" s="32" t="str">
        <f>VLOOKUP(R4,Orgenheter!$A$1:$C$166,3,FALSE)</f>
        <v>Hum</v>
      </c>
      <c r="U4" s="37" t="str">
        <f>VLOOKUP(D4,Program!$A$1:$B$34,2,FALSE)</f>
        <v>VAL-projektet</v>
      </c>
      <c r="V4" s="41">
        <f>VLOOKUP(A4,kurspris!$A$1:$Q$225,15,FALSE)</f>
        <v>19097</v>
      </c>
      <c r="W4" s="41">
        <f>VLOOKUP(A4,kurspris!$A$1:$Q$225,16,FALSE)</f>
        <v>16075</v>
      </c>
      <c r="X4" s="41">
        <f t="shared" si="1"/>
        <v>4396.500035172</v>
      </c>
      <c r="Y4" s="41">
        <f>VLOOKUP(A4,kurspris!$A$1:$Q$225,17,FALSE)</f>
        <v>5900</v>
      </c>
      <c r="Z4" s="41">
        <f t="shared" si="2"/>
        <v>737.50000590000002</v>
      </c>
      <c r="AA4" s="41">
        <f t="shared" si="3"/>
        <v>5134.0000410720004</v>
      </c>
      <c r="AB4" s="32">
        <f>VLOOKUP($A4,kurspris!$A$1:$Q$262,3,FALSE)</f>
        <v>0</v>
      </c>
      <c r="AC4" s="32">
        <f>VLOOKUP($A4,kurspris!$A$1:$Q$262,4,FALSE)</f>
        <v>1</v>
      </c>
      <c r="AD4" s="32">
        <f>VLOOKUP($A4,kurspris!$A$1:$Q$262,5,FALSE)</f>
        <v>0</v>
      </c>
      <c r="AE4" s="32">
        <f>VLOOKUP($A4,kurspris!$A$1:$Q$262,6,FALSE)</f>
        <v>0</v>
      </c>
      <c r="AF4" s="32">
        <f>VLOOKUP($A4,kurspris!$A$1:$Q$262,7,FALSE)</f>
        <v>0</v>
      </c>
      <c r="AG4" s="32">
        <f>VLOOKUP($A4,kurspris!$A$1:$Q$262,8,FALSE)</f>
        <v>0</v>
      </c>
      <c r="AH4" s="32">
        <f>VLOOKUP($A4,kurspris!$A$1:$Q$262,9,FALSE)</f>
        <v>0</v>
      </c>
      <c r="AI4" s="32">
        <f>VLOOKUP($A4,kurspris!$A$1:$Q$262,10,FALSE)</f>
        <v>0</v>
      </c>
      <c r="AJ4" s="32">
        <f>VLOOKUP($A4,kurspris!$A$1:$Q$262,11,FALSE)</f>
        <v>0</v>
      </c>
      <c r="AK4" s="32">
        <f>VLOOKUP($A4,kurspris!$A$1:$Q$262,12,FALSE)</f>
        <v>0</v>
      </c>
      <c r="AL4" s="32">
        <f>VLOOKUP($A4,kurspris!$A$1:$Q$262,13,FALSE)</f>
        <v>0</v>
      </c>
      <c r="AM4" s="32">
        <f>VLOOKUP($A4,kurspris!$A$1:$Q$262,14,FALSE)</f>
        <v>0</v>
      </c>
      <c r="AN4" s="38" t="s">
        <v>917</v>
      </c>
      <c r="AP4" s="32">
        <f t="shared" si="4"/>
        <v>0</v>
      </c>
      <c r="AQ4" s="234">
        <f t="shared" si="5"/>
        <v>0</v>
      </c>
      <c r="AR4" s="32">
        <f t="shared" si="6"/>
        <v>0.125000001</v>
      </c>
      <c r="AS4" s="234">
        <f t="shared" si="7"/>
        <v>0.125000001</v>
      </c>
      <c r="AT4" s="32">
        <f t="shared" si="8"/>
        <v>0</v>
      </c>
      <c r="AU4" s="32">
        <f t="shared" si="9"/>
        <v>0</v>
      </c>
      <c r="AV4" s="32">
        <f t="shared" si="10"/>
        <v>0</v>
      </c>
      <c r="AW4" s="234">
        <f t="shared" si="11"/>
        <v>0</v>
      </c>
      <c r="AX4" s="226">
        <f t="shared" si="12"/>
        <v>0</v>
      </c>
      <c r="AY4" s="234">
        <f t="shared" si="13"/>
        <v>0</v>
      </c>
      <c r="AZ4" s="32">
        <f t="shared" si="14"/>
        <v>0</v>
      </c>
      <c r="BA4" s="234">
        <f t="shared" si="15"/>
        <v>0</v>
      </c>
      <c r="BB4" s="32">
        <f t="shared" si="16"/>
        <v>0</v>
      </c>
      <c r="BC4" s="234">
        <f t="shared" si="17"/>
        <v>0</v>
      </c>
      <c r="BD4" s="32">
        <f t="shared" si="18"/>
        <v>0</v>
      </c>
      <c r="BE4" s="234">
        <f t="shared" si="19"/>
        <v>0</v>
      </c>
      <c r="BF4" s="32">
        <f t="shared" si="20"/>
        <v>0</v>
      </c>
      <c r="BG4" s="234">
        <f t="shared" si="21"/>
        <v>0</v>
      </c>
      <c r="BH4" s="32">
        <f t="shared" si="22"/>
        <v>0</v>
      </c>
      <c r="BI4" s="32">
        <f t="shared" si="23"/>
        <v>0</v>
      </c>
      <c r="BJ4" s="234">
        <f t="shared" si="24"/>
        <v>0</v>
      </c>
      <c r="BK4" s="32">
        <f t="shared" si="25"/>
        <v>0</v>
      </c>
      <c r="BL4" s="234">
        <f t="shared" si="26"/>
        <v>0</v>
      </c>
    </row>
    <row r="5" spans="1:64" ht="15" customHeight="1" x14ac:dyDescent="0.25">
      <c r="A5" s="221" t="s">
        <v>859</v>
      </c>
      <c r="B5" s="26" t="str">
        <f>VLOOKUP(A5,kurspris!$A$1:$B$304,2,FALSE)</f>
        <v>Svenska/Nordiska språk B: Att forska om språk</v>
      </c>
      <c r="C5" s="56"/>
      <c r="D5" s="32" t="s">
        <v>74</v>
      </c>
      <c r="E5" s="59"/>
      <c r="F5" s="56" t="s">
        <v>892</v>
      </c>
      <c r="G5" s="59"/>
      <c r="H5" s="59"/>
      <c r="K5" s="37"/>
      <c r="L5" s="32">
        <v>50</v>
      </c>
      <c r="M5" s="32">
        <v>7.5</v>
      </c>
      <c r="N5" s="32">
        <v>2</v>
      </c>
      <c r="O5" s="234">
        <v>0.24999999639999998</v>
      </c>
      <c r="P5" s="39">
        <v>1</v>
      </c>
      <c r="Q5" s="234">
        <f t="shared" si="0"/>
        <v>0.24999999639999998</v>
      </c>
      <c r="R5" s="32">
        <f>VLOOKUP(A5,'Ansvar kurs'!$A$1:$C$399,2,FALSE)</f>
        <v>1620</v>
      </c>
      <c r="S5" s="32" t="str">
        <f>VLOOKUP(R5,Orgenheter!$A$1:$C$166,2,FALSE)</f>
        <v>Inst för språkstudier</v>
      </c>
      <c r="T5" s="32" t="str">
        <f>VLOOKUP(R5,Orgenheter!$A$1:$C$166,3,FALSE)</f>
        <v>Hum</v>
      </c>
      <c r="U5" s="37" t="str">
        <f>VLOOKUP(D5,Program!$A$1:$B$34,2,FALSE)</f>
        <v>VAL-projektet</v>
      </c>
      <c r="V5" s="41">
        <f>VLOOKUP(A5,kurspris!$A$1:$Q$225,15,FALSE)</f>
        <v>19097</v>
      </c>
      <c r="W5" s="41">
        <f>VLOOKUP(A5,kurspris!$A$1:$Q$225,16,FALSE)</f>
        <v>16075</v>
      </c>
      <c r="X5" s="41">
        <f t="shared" si="1"/>
        <v>8792.9998733807988</v>
      </c>
      <c r="Y5" s="41">
        <f>VLOOKUP(A5,kurspris!$A$1:$Q$225,17,FALSE)</f>
        <v>5900</v>
      </c>
      <c r="Z5" s="41">
        <f t="shared" si="2"/>
        <v>1474.99997876</v>
      </c>
      <c r="AA5" s="41">
        <f t="shared" si="3"/>
        <v>10267.999852140798</v>
      </c>
      <c r="AB5" s="32">
        <f>VLOOKUP($A5,kurspris!$A$1:$Q$262,3,FALSE)</f>
        <v>0</v>
      </c>
      <c r="AC5" s="32">
        <f>VLOOKUP($A5,kurspris!$A$1:$Q$262,4,FALSE)</f>
        <v>1</v>
      </c>
      <c r="AD5" s="32">
        <f>VLOOKUP($A5,kurspris!$A$1:$Q$262,5,FALSE)</f>
        <v>0</v>
      </c>
      <c r="AE5" s="32">
        <f>VLOOKUP($A5,kurspris!$A$1:$Q$262,6,FALSE)</f>
        <v>0</v>
      </c>
      <c r="AF5" s="32">
        <f>VLOOKUP($A5,kurspris!$A$1:$Q$262,7,FALSE)</f>
        <v>0</v>
      </c>
      <c r="AG5" s="32">
        <f>VLOOKUP($A5,kurspris!$A$1:$Q$262,8,FALSE)</f>
        <v>0</v>
      </c>
      <c r="AH5" s="32">
        <f>VLOOKUP($A5,kurspris!$A$1:$Q$262,9,FALSE)</f>
        <v>0</v>
      </c>
      <c r="AI5" s="32">
        <f>VLOOKUP($A5,kurspris!$A$1:$Q$262,10,FALSE)</f>
        <v>0</v>
      </c>
      <c r="AJ5" s="32">
        <f>VLOOKUP($A5,kurspris!$A$1:$Q$262,11,FALSE)</f>
        <v>0</v>
      </c>
      <c r="AK5" s="32">
        <f>VLOOKUP($A5,kurspris!$A$1:$Q$262,12,FALSE)</f>
        <v>0</v>
      </c>
      <c r="AL5" s="32">
        <f>VLOOKUP($A5,kurspris!$A$1:$Q$262,13,FALSE)</f>
        <v>0</v>
      </c>
      <c r="AM5" s="32">
        <f>VLOOKUP($A5,kurspris!$A$1:$Q$262,14,FALSE)</f>
        <v>0</v>
      </c>
      <c r="AN5" s="38" t="s">
        <v>917</v>
      </c>
      <c r="AO5"/>
      <c r="AP5" s="32">
        <f t="shared" si="4"/>
        <v>0</v>
      </c>
      <c r="AQ5" s="234">
        <f t="shared" si="5"/>
        <v>0</v>
      </c>
      <c r="AR5" s="32">
        <f t="shared" si="6"/>
        <v>0.24999999639999998</v>
      </c>
      <c r="AS5" s="234">
        <f t="shared" si="7"/>
        <v>0.24999999639999998</v>
      </c>
      <c r="AT5" s="32">
        <f t="shared" si="8"/>
        <v>0</v>
      </c>
      <c r="AU5" s="32">
        <f t="shared" si="9"/>
        <v>0</v>
      </c>
      <c r="AV5" s="32">
        <f t="shared" si="10"/>
        <v>0</v>
      </c>
      <c r="AW5" s="234">
        <f t="shared" si="11"/>
        <v>0</v>
      </c>
      <c r="AX5" s="226">
        <f t="shared" si="12"/>
        <v>0</v>
      </c>
      <c r="AY5" s="234">
        <f t="shared" si="13"/>
        <v>0</v>
      </c>
      <c r="AZ5" s="32">
        <f t="shared" si="14"/>
        <v>0</v>
      </c>
      <c r="BA5" s="234">
        <f t="shared" si="15"/>
        <v>0</v>
      </c>
      <c r="BB5" s="32">
        <f t="shared" si="16"/>
        <v>0</v>
      </c>
      <c r="BC5" s="234">
        <f t="shared" si="17"/>
        <v>0</v>
      </c>
      <c r="BD5" s="32">
        <f t="shared" si="18"/>
        <v>0</v>
      </c>
      <c r="BE5" s="234">
        <f t="shared" si="19"/>
        <v>0</v>
      </c>
      <c r="BF5" s="32">
        <f t="shared" si="20"/>
        <v>0</v>
      </c>
      <c r="BG5" s="234">
        <f t="shared" si="21"/>
        <v>0</v>
      </c>
      <c r="BH5" s="32">
        <f t="shared" si="22"/>
        <v>0</v>
      </c>
      <c r="BI5" s="32">
        <f t="shared" si="23"/>
        <v>0</v>
      </c>
      <c r="BJ5" s="234">
        <f t="shared" si="24"/>
        <v>0</v>
      </c>
      <c r="BK5" s="32">
        <f t="shared" si="25"/>
        <v>0</v>
      </c>
      <c r="BL5" s="234">
        <f t="shared" si="26"/>
        <v>0</v>
      </c>
    </row>
    <row r="6" spans="1:64" ht="15" customHeight="1" x14ac:dyDescent="0.25">
      <c r="A6" s="221" t="s">
        <v>651</v>
      </c>
      <c r="B6" s="26" t="str">
        <f>VLOOKUP(A6,kurspris!$A$1:$B$304,2,FALSE)</f>
        <v>Ryska A, Fonetik och muntlig språkfärdighet</v>
      </c>
      <c r="C6" s="56"/>
      <c r="D6" s="32" t="s">
        <v>74</v>
      </c>
      <c r="E6" s="59"/>
      <c r="F6" s="56" t="s">
        <v>892</v>
      </c>
      <c r="G6" s="59"/>
      <c r="H6" s="59"/>
      <c r="K6" s="37"/>
      <c r="L6" s="32">
        <v>25</v>
      </c>
      <c r="M6" s="32">
        <v>7.5</v>
      </c>
      <c r="N6" s="32">
        <v>1</v>
      </c>
      <c r="O6" s="234">
        <v>0.124999994</v>
      </c>
      <c r="P6" s="39">
        <v>1</v>
      </c>
      <c r="Q6" s="234">
        <f t="shared" si="0"/>
        <v>0.124999994</v>
      </c>
      <c r="R6" s="32">
        <f>VLOOKUP(A6,'Ansvar kurs'!$A$1:$C$399,2,FALSE)</f>
        <v>1620</v>
      </c>
      <c r="S6" s="32" t="str">
        <f>VLOOKUP(R6,Orgenheter!$A$1:$C$166,2,FALSE)</f>
        <v>Inst för språkstudier</v>
      </c>
      <c r="T6" s="32" t="str">
        <f>VLOOKUP(R6,Orgenheter!$A$1:$C$166,3,FALSE)</f>
        <v>Hum</v>
      </c>
      <c r="U6" s="37" t="str">
        <f>VLOOKUP(D6,Program!$A$1:$B$34,2,FALSE)</f>
        <v>VAL-projektet</v>
      </c>
      <c r="V6" s="41">
        <f>VLOOKUP(A6,kurspris!$A$1:$Q$225,15,FALSE)</f>
        <v>19097</v>
      </c>
      <c r="W6" s="41">
        <f>VLOOKUP(A6,kurspris!$A$1:$Q$225,16,FALSE)</f>
        <v>16075</v>
      </c>
      <c r="X6" s="41">
        <f t="shared" si="1"/>
        <v>4396.4997889679998</v>
      </c>
      <c r="Y6" s="41">
        <f>VLOOKUP(A6,kurspris!$A$1:$Q$225,17,FALSE)</f>
        <v>5900</v>
      </c>
      <c r="Z6" s="41">
        <f t="shared" si="2"/>
        <v>737.4999646</v>
      </c>
      <c r="AA6" s="41">
        <f t="shared" si="3"/>
        <v>5133.9997535679995</v>
      </c>
      <c r="AB6" s="32">
        <f>VLOOKUP($A6,kurspris!$A$1:$Q$262,3,FALSE)</f>
        <v>0</v>
      </c>
      <c r="AC6" s="32">
        <f>VLOOKUP($A6,kurspris!$A$1:$Q$262,4,FALSE)</f>
        <v>1</v>
      </c>
      <c r="AD6" s="32">
        <f>VLOOKUP($A6,kurspris!$A$1:$Q$262,5,FALSE)</f>
        <v>0</v>
      </c>
      <c r="AE6" s="32">
        <f>VLOOKUP($A6,kurspris!$A$1:$Q$262,6,FALSE)</f>
        <v>0</v>
      </c>
      <c r="AF6" s="32">
        <f>VLOOKUP($A6,kurspris!$A$1:$Q$262,7,FALSE)</f>
        <v>0</v>
      </c>
      <c r="AG6" s="32">
        <f>VLOOKUP($A6,kurspris!$A$1:$Q$262,8,FALSE)</f>
        <v>0</v>
      </c>
      <c r="AH6" s="32">
        <f>VLOOKUP($A6,kurspris!$A$1:$Q$262,9,FALSE)</f>
        <v>0</v>
      </c>
      <c r="AI6" s="32">
        <f>VLOOKUP($A6,kurspris!$A$1:$Q$262,10,FALSE)</f>
        <v>0</v>
      </c>
      <c r="AJ6" s="32">
        <f>VLOOKUP($A6,kurspris!$A$1:$Q$262,11,FALSE)</f>
        <v>0</v>
      </c>
      <c r="AK6" s="32">
        <f>VLOOKUP($A6,kurspris!$A$1:$Q$262,12,FALSE)</f>
        <v>0</v>
      </c>
      <c r="AL6" s="32">
        <f>VLOOKUP($A6,kurspris!$A$1:$Q$262,13,FALSE)</f>
        <v>0</v>
      </c>
      <c r="AM6" s="32">
        <f>VLOOKUP($A6,kurspris!$A$1:$Q$262,14,FALSE)</f>
        <v>0</v>
      </c>
      <c r="AN6" s="38" t="s">
        <v>917</v>
      </c>
      <c r="AO6"/>
      <c r="AP6" s="32">
        <f t="shared" si="4"/>
        <v>0</v>
      </c>
      <c r="AQ6" s="234">
        <f t="shared" si="5"/>
        <v>0</v>
      </c>
      <c r="AR6" s="32">
        <f t="shared" si="6"/>
        <v>0.124999994</v>
      </c>
      <c r="AS6" s="234">
        <f t="shared" si="7"/>
        <v>0.124999994</v>
      </c>
      <c r="AT6" s="32">
        <f t="shared" si="8"/>
        <v>0</v>
      </c>
      <c r="AU6" s="32">
        <f t="shared" si="9"/>
        <v>0</v>
      </c>
      <c r="AV6" s="32">
        <f t="shared" si="10"/>
        <v>0</v>
      </c>
      <c r="AW6" s="234">
        <f t="shared" si="11"/>
        <v>0</v>
      </c>
      <c r="AX6" s="226">
        <f t="shared" si="12"/>
        <v>0</v>
      </c>
      <c r="AY6" s="234">
        <f t="shared" si="13"/>
        <v>0</v>
      </c>
      <c r="AZ6" s="32">
        <f t="shared" si="14"/>
        <v>0</v>
      </c>
      <c r="BA6" s="234">
        <f t="shared" si="15"/>
        <v>0</v>
      </c>
      <c r="BB6" s="32">
        <f t="shared" si="16"/>
        <v>0</v>
      </c>
      <c r="BC6" s="234">
        <f t="shared" si="17"/>
        <v>0</v>
      </c>
      <c r="BD6" s="32">
        <f t="shared" si="18"/>
        <v>0</v>
      </c>
      <c r="BE6" s="234">
        <f t="shared" si="19"/>
        <v>0</v>
      </c>
      <c r="BF6" s="32">
        <f t="shared" si="20"/>
        <v>0</v>
      </c>
      <c r="BG6" s="234">
        <f t="shared" si="21"/>
        <v>0</v>
      </c>
      <c r="BH6" s="32">
        <f t="shared" si="22"/>
        <v>0</v>
      </c>
      <c r="BI6" s="32">
        <f t="shared" si="23"/>
        <v>0</v>
      </c>
      <c r="BJ6" s="234">
        <f t="shared" si="24"/>
        <v>0</v>
      </c>
      <c r="BK6" s="32">
        <f t="shared" si="25"/>
        <v>0</v>
      </c>
      <c r="BL6" s="234">
        <f t="shared" si="26"/>
        <v>0</v>
      </c>
    </row>
    <row r="7" spans="1:64" ht="15" customHeight="1" x14ac:dyDescent="0.25">
      <c r="A7" s="221" t="s">
        <v>652</v>
      </c>
      <c r="B7" s="26" t="str">
        <f>VLOOKUP(A7,kurspris!$A$1:$B$304,2,FALSE)</f>
        <v>Ryska B, Grammatik, skriftlig kommunikation och realia</v>
      </c>
      <c r="C7" s="351"/>
      <c r="D7" s="32" t="s">
        <v>74</v>
      </c>
      <c r="E7" s="59"/>
      <c r="F7" s="56" t="s">
        <v>892</v>
      </c>
      <c r="G7" s="59"/>
      <c r="H7" s="59"/>
      <c r="K7" s="37"/>
      <c r="L7" s="32">
        <v>50</v>
      </c>
      <c r="M7" s="32">
        <v>15</v>
      </c>
      <c r="N7" s="32">
        <v>1</v>
      </c>
      <c r="O7" s="234">
        <v>0.250000002</v>
      </c>
      <c r="P7" s="39">
        <v>1</v>
      </c>
      <c r="Q7" s="234">
        <f t="shared" si="0"/>
        <v>0.250000002</v>
      </c>
      <c r="R7" s="32">
        <f>VLOOKUP(A7,'Ansvar kurs'!$A$1:$C$399,2,FALSE)</f>
        <v>1620</v>
      </c>
      <c r="S7" s="32" t="str">
        <f>VLOOKUP(R7,Orgenheter!$A$1:$C$166,2,FALSE)</f>
        <v>Inst för språkstudier</v>
      </c>
      <c r="T7" s="32" t="str">
        <f>VLOOKUP(R7,Orgenheter!$A$1:$C$166,3,FALSE)</f>
        <v>Hum</v>
      </c>
      <c r="U7" s="37" t="str">
        <f>VLOOKUP(D7,Program!$A$1:$B$34,2,FALSE)</f>
        <v>VAL-projektet</v>
      </c>
      <c r="V7" s="41">
        <f>VLOOKUP(A7,kurspris!$A$1:$Q$225,15,FALSE)</f>
        <v>19097</v>
      </c>
      <c r="W7" s="41">
        <f>VLOOKUP(A7,kurspris!$A$1:$Q$225,16,FALSE)</f>
        <v>16075</v>
      </c>
      <c r="X7" s="41">
        <f t="shared" si="1"/>
        <v>8793.0000703440001</v>
      </c>
      <c r="Y7" s="41">
        <f>VLOOKUP(A7,kurspris!$A$1:$Q$225,17,FALSE)</f>
        <v>5900</v>
      </c>
      <c r="Z7" s="41">
        <f t="shared" si="2"/>
        <v>1475.0000118</v>
      </c>
      <c r="AA7" s="41">
        <f t="shared" si="3"/>
        <v>10268.000082144001</v>
      </c>
      <c r="AB7" s="32">
        <f>VLOOKUP($A7,kurspris!$A$1:$Q$262,3,FALSE)</f>
        <v>0</v>
      </c>
      <c r="AC7" s="32">
        <f>VLOOKUP($A7,kurspris!$A$1:$Q$262,4,FALSE)</f>
        <v>1</v>
      </c>
      <c r="AD7" s="32">
        <f>VLOOKUP($A7,kurspris!$A$1:$Q$262,5,FALSE)</f>
        <v>0</v>
      </c>
      <c r="AE7" s="32">
        <f>VLOOKUP($A7,kurspris!$A$1:$Q$262,6,FALSE)</f>
        <v>0</v>
      </c>
      <c r="AF7" s="32">
        <f>VLOOKUP($A7,kurspris!$A$1:$Q$262,7,FALSE)</f>
        <v>0</v>
      </c>
      <c r="AG7" s="32">
        <f>VLOOKUP($A7,kurspris!$A$1:$Q$262,8,FALSE)</f>
        <v>0</v>
      </c>
      <c r="AH7" s="32">
        <f>VLOOKUP($A7,kurspris!$A$1:$Q$262,9,FALSE)</f>
        <v>0</v>
      </c>
      <c r="AI7" s="32">
        <f>VLOOKUP($A7,kurspris!$A$1:$Q$262,10,FALSE)</f>
        <v>0</v>
      </c>
      <c r="AJ7" s="32">
        <f>VLOOKUP($A7,kurspris!$A$1:$Q$262,11,FALSE)</f>
        <v>0</v>
      </c>
      <c r="AK7" s="32">
        <f>VLOOKUP($A7,kurspris!$A$1:$Q$262,12,FALSE)</f>
        <v>0</v>
      </c>
      <c r="AL7" s="32">
        <f>VLOOKUP($A7,kurspris!$A$1:$Q$262,13,FALSE)</f>
        <v>0</v>
      </c>
      <c r="AM7" s="32">
        <f>VLOOKUP($A7,kurspris!$A$1:$Q$262,14,FALSE)</f>
        <v>0</v>
      </c>
      <c r="AN7" s="38" t="s">
        <v>917</v>
      </c>
      <c r="AP7" s="32">
        <f t="shared" si="4"/>
        <v>0</v>
      </c>
      <c r="AQ7" s="234">
        <f t="shared" si="5"/>
        <v>0</v>
      </c>
      <c r="AR7" s="32">
        <f t="shared" si="6"/>
        <v>0.250000002</v>
      </c>
      <c r="AS7" s="234">
        <f t="shared" si="7"/>
        <v>0.250000002</v>
      </c>
      <c r="AT7" s="32">
        <f t="shared" si="8"/>
        <v>0</v>
      </c>
      <c r="AU7" s="32">
        <f t="shared" si="9"/>
        <v>0</v>
      </c>
      <c r="AV7" s="32">
        <f t="shared" si="10"/>
        <v>0</v>
      </c>
      <c r="AW7" s="234">
        <f t="shared" si="11"/>
        <v>0</v>
      </c>
      <c r="AX7" s="226">
        <f t="shared" si="12"/>
        <v>0</v>
      </c>
      <c r="AY7" s="234">
        <f t="shared" si="13"/>
        <v>0</v>
      </c>
      <c r="AZ7" s="32">
        <f t="shared" si="14"/>
        <v>0</v>
      </c>
      <c r="BA7" s="234">
        <f t="shared" si="15"/>
        <v>0</v>
      </c>
      <c r="BB7" s="32">
        <f t="shared" si="16"/>
        <v>0</v>
      </c>
      <c r="BC7" s="234">
        <f t="shared" si="17"/>
        <v>0</v>
      </c>
      <c r="BD7" s="32">
        <f t="shared" si="18"/>
        <v>0</v>
      </c>
      <c r="BE7" s="234">
        <f t="shared" si="19"/>
        <v>0</v>
      </c>
      <c r="BF7" s="32">
        <f t="shared" si="20"/>
        <v>0</v>
      </c>
      <c r="BG7" s="234">
        <f t="shared" si="21"/>
        <v>0</v>
      </c>
      <c r="BH7" s="32">
        <f t="shared" si="22"/>
        <v>0</v>
      </c>
      <c r="BI7" s="32">
        <f t="shared" si="23"/>
        <v>0</v>
      </c>
      <c r="BJ7" s="234">
        <f t="shared" si="24"/>
        <v>0</v>
      </c>
      <c r="BK7" s="32">
        <f t="shared" si="25"/>
        <v>0</v>
      </c>
      <c r="BL7" s="234">
        <f t="shared" si="26"/>
        <v>0</v>
      </c>
    </row>
    <row r="8" spans="1:64" ht="15" customHeight="1" x14ac:dyDescent="0.25">
      <c r="A8" s="221" t="s">
        <v>774</v>
      </c>
      <c r="B8" s="26" t="str">
        <f>VLOOKUP(A8,kurspris!$A$1:$B$304,2,FALSE)</f>
        <v>Spanska C, Lingvistik, litteratur och språkfärdighet</v>
      </c>
      <c r="C8" s="56"/>
      <c r="D8" s="32" t="s">
        <v>74</v>
      </c>
      <c r="E8" s="59"/>
      <c r="F8" s="56" t="s">
        <v>892</v>
      </c>
      <c r="G8" s="59"/>
      <c r="H8" s="59"/>
      <c r="K8" s="37"/>
      <c r="L8" s="32">
        <v>50</v>
      </c>
      <c r="M8" s="32">
        <v>15</v>
      </c>
      <c r="N8" s="32">
        <v>1</v>
      </c>
      <c r="O8" s="234">
        <v>0.250000002</v>
      </c>
      <c r="P8" s="39">
        <v>1</v>
      </c>
      <c r="Q8" s="234">
        <f t="shared" si="0"/>
        <v>0.250000002</v>
      </c>
      <c r="R8" s="32">
        <f>VLOOKUP(A8,'Ansvar kurs'!$A$1:$C$399,2,FALSE)</f>
        <v>1620</v>
      </c>
      <c r="S8" s="32" t="str">
        <f>VLOOKUP(R8,Orgenheter!$A$1:$C$166,2,FALSE)</f>
        <v>Inst för språkstudier</v>
      </c>
      <c r="T8" s="32" t="str">
        <f>VLOOKUP(R8,Orgenheter!$A$1:$C$166,3,FALSE)</f>
        <v>Hum</v>
      </c>
      <c r="U8" s="37" t="str">
        <f>VLOOKUP(D8,Program!$A$1:$B$34,2,FALSE)</f>
        <v>VAL-projektet</v>
      </c>
      <c r="V8" s="41">
        <f>VLOOKUP(A8,kurspris!$A$1:$Q$225,15,FALSE)</f>
        <v>19097</v>
      </c>
      <c r="W8" s="41">
        <f>VLOOKUP(A8,kurspris!$A$1:$Q$225,16,FALSE)</f>
        <v>16075</v>
      </c>
      <c r="X8" s="41">
        <f t="shared" si="1"/>
        <v>8793.0000703440001</v>
      </c>
      <c r="Y8" s="41">
        <f>VLOOKUP(A8,kurspris!$A$1:$Q$225,17,FALSE)</f>
        <v>5900</v>
      </c>
      <c r="Z8" s="41">
        <f t="shared" si="2"/>
        <v>1475.0000118</v>
      </c>
      <c r="AA8" s="41">
        <f t="shared" si="3"/>
        <v>10268.000082144001</v>
      </c>
      <c r="AB8" s="32">
        <f>VLOOKUP($A8,kurspris!$A$1:$Q$262,3,FALSE)</f>
        <v>0</v>
      </c>
      <c r="AC8" s="32">
        <f>VLOOKUP($A8,kurspris!$A$1:$Q$262,4,FALSE)</f>
        <v>1</v>
      </c>
      <c r="AD8" s="32">
        <f>VLOOKUP($A8,kurspris!$A$1:$Q$262,5,FALSE)</f>
        <v>0</v>
      </c>
      <c r="AE8" s="32">
        <f>VLOOKUP($A8,kurspris!$A$1:$Q$262,6,FALSE)</f>
        <v>0</v>
      </c>
      <c r="AF8" s="32">
        <f>VLOOKUP($A8,kurspris!$A$1:$Q$262,7,FALSE)</f>
        <v>0</v>
      </c>
      <c r="AG8" s="32">
        <f>VLOOKUP($A8,kurspris!$A$1:$Q$262,8,FALSE)</f>
        <v>0</v>
      </c>
      <c r="AH8" s="32">
        <f>VLOOKUP($A8,kurspris!$A$1:$Q$262,9,FALSE)</f>
        <v>0</v>
      </c>
      <c r="AI8" s="32">
        <f>VLOOKUP($A8,kurspris!$A$1:$Q$262,10,FALSE)</f>
        <v>0</v>
      </c>
      <c r="AJ8" s="32">
        <f>VLOOKUP($A8,kurspris!$A$1:$Q$262,11,FALSE)</f>
        <v>0</v>
      </c>
      <c r="AK8" s="32">
        <f>VLOOKUP($A8,kurspris!$A$1:$Q$262,12,FALSE)</f>
        <v>0</v>
      </c>
      <c r="AL8" s="32">
        <f>VLOOKUP($A8,kurspris!$A$1:$Q$262,13,FALSE)</f>
        <v>0</v>
      </c>
      <c r="AM8" s="32">
        <f>VLOOKUP($A8,kurspris!$A$1:$Q$262,14,FALSE)</f>
        <v>0</v>
      </c>
      <c r="AN8" s="38" t="s">
        <v>917</v>
      </c>
      <c r="AO8" s="38"/>
      <c r="AP8" s="32">
        <f t="shared" si="4"/>
        <v>0</v>
      </c>
      <c r="AQ8" s="234">
        <f t="shared" si="5"/>
        <v>0</v>
      </c>
      <c r="AR8" s="32">
        <f t="shared" si="6"/>
        <v>0.250000002</v>
      </c>
      <c r="AS8" s="234">
        <f t="shared" si="7"/>
        <v>0.250000002</v>
      </c>
      <c r="AT8" s="32">
        <f t="shared" si="8"/>
        <v>0</v>
      </c>
      <c r="AU8" s="32">
        <f t="shared" si="9"/>
        <v>0</v>
      </c>
      <c r="AV8" s="32">
        <f t="shared" si="10"/>
        <v>0</v>
      </c>
      <c r="AW8" s="234">
        <f t="shared" si="11"/>
        <v>0</v>
      </c>
      <c r="AX8" s="226">
        <f t="shared" si="12"/>
        <v>0</v>
      </c>
      <c r="AY8" s="234">
        <f t="shared" si="13"/>
        <v>0</v>
      </c>
      <c r="AZ8" s="32">
        <f t="shared" si="14"/>
        <v>0</v>
      </c>
      <c r="BA8" s="234">
        <f t="shared" si="15"/>
        <v>0</v>
      </c>
      <c r="BB8" s="32">
        <f t="shared" si="16"/>
        <v>0</v>
      </c>
      <c r="BC8" s="234">
        <f t="shared" si="17"/>
        <v>0</v>
      </c>
      <c r="BD8" s="32">
        <f t="shared" si="18"/>
        <v>0</v>
      </c>
      <c r="BE8" s="234">
        <f t="shared" si="19"/>
        <v>0</v>
      </c>
      <c r="BF8" s="32">
        <f t="shared" si="20"/>
        <v>0</v>
      </c>
      <c r="BG8" s="234">
        <f t="shared" si="21"/>
        <v>0</v>
      </c>
      <c r="BH8" s="32">
        <f t="shared" si="22"/>
        <v>0</v>
      </c>
      <c r="BI8" s="32">
        <f t="shared" si="23"/>
        <v>0</v>
      </c>
      <c r="BJ8" s="234">
        <f t="shared" si="24"/>
        <v>0</v>
      </c>
      <c r="BK8" s="32">
        <f t="shared" si="25"/>
        <v>0</v>
      </c>
      <c r="BL8" s="234">
        <f t="shared" si="26"/>
        <v>0</v>
      </c>
    </row>
    <row r="9" spans="1:64" ht="15" customHeight="1" x14ac:dyDescent="0.25">
      <c r="A9" s="221" t="s">
        <v>702</v>
      </c>
      <c r="B9" s="26" t="str">
        <f>VLOOKUP(A9,kurspris!$A$1:$B$304,2,FALSE)</f>
        <v>Spanska, Examensarbete för kandidatexamen</v>
      </c>
      <c r="C9" s="56"/>
      <c r="D9" s="32" t="s">
        <v>74</v>
      </c>
      <c r="E9" s="59"/>
      <c r="F9" s="56" t="s">
        <v>892</v>
      </c>
      <c r="G9" s="59"/>
      <c r="H9" s="59"/>
      <c r="K9" s="37"/>
      <c r="L9" s="32">
        <v>50</v>
      </c>
      <c r="M9" s="32">
        <v>15</v>
      </c>
      <c r="N9" s="32">
        <v>1</v>
      </c>
      <c r="O9" s="234">
        <v>0.250000002</v>
      </c>
      <c r="P9" s="39">
        <v>1</v>
      </c>
      <c r="Q9" s="234">
        <f t="shared" si="0"/>
        <v>0.250000002</v>
      </c>
      <c r="R9" s="32">
        <f>VLOOKUP(A9,'Ansvar kurs'!$A$1:$C$399,2,FALSE)</f>
        <v>1620</v>
      </c>
      <c r="S9" s="32" t="str">
        <f>VLOOKUP(R9,Orgenheter!$A$1:$C$166,2,FALSE)</f>
        <v>Inst för språkstudier</v>
      </c>
      <c r="T9" s="32" t="str">
        <f>VLOOKUP(R9,Orgenheter!$A$1:$C$166,3,FALSE)</f>
        <v>Hum</v>
      </c>
      <c r="U9" s="37" t="str">
        <f>VLOOKUP(D9,Program!$A$1:$B$34,2,FALSE)</f>
        <v>VAL-projektet</v>
      </c>
      <c r="V9" s="41">
        <f>VLOOKUP(A9,kurspris!$A$1:$Q$225,15,FALSE)</f>
        <v>19097</v>
      </c>
      <c r="W9" s="41">
        <f>VLOOKUP(A9,kurspris!$A$1:$Q$225,16,FALSE)</f>
        <v>16075</v>
      </c>
      <c r="X9" s="41">
        <f t="shared" si="1"/>
        <v>8793.0000703440001</v>
      </c>
      <c r="Y9" s="41">
        <f>VLOOKUP(A9,kurspris!$A$1:$Q$225,17,FALSE)</f>
        <v>5900</v>
      </c>
      <c r="Z9" s="41">
        <f t="shared" si="2"/>
        <v>1475.0000118</v>
      </c>
      <c r="AA9" s="41">
        <f t="shared" si="3"/>
        <v>10268.000082144001</v>
      </c>
      <c r="AB9" s="32">
        <f>VLOOKUP($A9,kurspris!$A$1:$Q$262,3,FALSE)</f>
        <v>0</v>
      </c>
      <c r="AC9" s="32">
        <f>VLOOKUP($A9,kurspris!$A$1:$Q$262,4,FALSE)</f>
        <v>1</v>
      </c>
      <c r="AD9" s="32">
        <f>VLOOKUP($A9,kurspris!$A$1:$Q$262,5,FALSE)</f>
        <v>0</v>
      </c>
      <c r="AE9" s="32">
        <f>VLOOKUP($A9,kurspris!$A$1:$Q$262,6,FALSE)</f>
        <v>0</v>
      </c>
      <c r="AF9" s="32">
        <f>VLOOKUP($A9,kurspris!$A$1:$Q$262,7,FALSE)</f>
        <v>0</v>
      </c>
      <c r="AG9" s="32">
        <f>VLOOKUP($A9,kurspris!$A$1:$Q$262,8,FALSE)</f>
        <v>0</v>
      </c>
      <c r="AH9" s="32">
        <f>VLOOKUP($A9,kurspris!$A$1:$Q$262,9,FALSE)</f>
        <v>0</v>
      </c>
      <c r="AI9" s="32">
        <f>VLOOKUP($A9,kurspris!$A$1:$Q$262,10,FALSE)</f>
        <v>0</v>
      </c>
      <c r="AJ9" s="32">
        <f>VLOOKUP($A9,kurspris!$A$1:$Q$262,11,FALSE)</f>
        <v>0</v>
      </c>
      <c r="AK9" s="32">
        <f>VLOOKUP($A9,kurspris!$A$1:$Q$262,12,FALSE)</f>
        <v>0</v>
      </c>
      <c r="AL9" s="32">
        <f>VLOOKUP($A9,kurspris!$A$1:$Q$262,13,FALSE)</f>
        <v>0</v>
      </c>
      <c r="AM9" s="32">
        <f>VLOOKUP($A9,kurspris!$A$1:$Q$262,14,FALSE)</f>
        <v>0</v>
      </c>
      <c r="AN9" s="38" t="s">
        <v>917</v>
      </c>
      <c r="AO9" s="38"/>
      <c r="AP9" s="32">
        <f t="shared" si="4"/>
        <v>0</v>
      </c>
      <c r="AQ9" s="234">
        <f t="shared" si="5"/>
        <v>0</v>
      </c>
      <c r="AR9" s="32">
        <f t="shared" si="6"/>
        <v>0.250000002</v>
      </c>
      <c r="AS9" s="234">
        <f t="shared" si="7"/>
        <v>0.250000002</v>
      </c>
      <c r="AT9" s="32">
        <f t="shared" si="8"/>
        <v>0</v>
      </c>
      <c r="AU9" s="32">
        <f t="shared" si="9"/>
        <v>0</v>
      </c>
      <c r="AV9" s="32">
        <f t="shared" si="10"/>
        <v>0</v>
      </c>
      <c r="AW9" s="234">
        <f t="shared" si="11"/>
        <v>0</v>
      </c>
      <c r="AX9" s="226">
        <f t="shared" si="12"/>
        <v>0</v>
      </c>
      <c r="AY9" s="234">
        <f t="shared" si="13"/>
        <v>0</v>
      </c>
      <c r="AZ9" s="32">
        <f t="shared" si="14"/>
        <v>0</v>
      </c>
      <c r="BA9" s="234">
        <f t="shared" si="15"/>
        <v>0</v>
      </c>
      <c r="BB9" s="32">
        <f t="shared" si="16"/>
        <v>0</v>
      </c>
      <c r="BC9" s="234">
        <f t="shared" si="17"/>
        <v>0</v>
      </c>
      <c r="BD9" s="32">
        <f t="shared" si="18"/>
        <v>0</v>
      </c>
      <c r="BE9" s="234">
        <f t="shared" si="19"/>
        <v>0</v>
      </c>
      <c r="BF9" s="32">
        <f t="shared" si="20"/>
        <v>0</v>
      </c>
      <c r="BG9" s="234">
        <f t="shared" si="21"/>
        <v>0</v>
      </c>
      <c r="BH9" s="32">
        <f t="shared" si="22"/>
        <v>0</v>
      </c>
      <c r="BI9" s="32">
        <f t="shared" si="23"/>
        <v>0</v>
      </c>
      <c r="BJ9" s="234">
        <f t="shared" si="24"/>
        <v>0</v>
      </c>
      <c r="BK9" s="32">
        <f t="shared" si="25"/>
        <v>0</v>
      </c>
      <c r="BL9" s="234">
        <f t="shared" si="26"/>
        <v>0</v>
      </c>
    </row>
    <row r="10" spans="1:64" ht="15" customHeight="1" x14ac:dyDescent="0.25">
      <c r="A10" s="221" t="s">
        <v>853</v>
      </c>
      <c r="B10" s="26" t="str">
        <f>VLOOKUP(A10,kurspris!$A$1:$B$304,2,FALSE)</f>
        <v>Spanska B (nätkurs)</v>
      </c>
      <c r="C10" s="56"/>
      <c r="D10" s="32" t="s">
        <v>74</v>
      </c>
      <c r="E10" s="59"/>
      <c r="F10" s="56" t="s">
        <v>892</v>
      </c>
      <c r="G10" s="59"/>
      <c r="H10" s="59"/>
      <c r="K10" s="37"/>
      <c r="L10" s="32">
        <v>50</v>
      </c>
      <c r="M10" s="32">
        <v>15</v>
      </c>
      <c r="N10" s="32">
        <v>1</v>
      </c>
      <c r="O10" s="234">
        <v>0.250000002</v>
      </c>
      <c r="P10" s="39">
        <v>1</v>
      </c>
      <c r="Q10" s="234">
        <f t="shared" si="0"/>
        <v>0.250000002</v>
      </c>
      <c r="R10" s="32">
        <f>VLOOKUP(A10,'Ansvar kurs'!$A$1:$C$399,2,FALSE)</f>
        <v>1620</v>
      </c>
      <c r="S10" s="32" t="str">
        <f>VLOOKUP(R10,Orgenheter!$A$1:$C$166,2,FALSE)</f>
        <v>Inst för språkstudier</v>
      </c>
      <c r="T10" s="32" t="str">
        <f>VLOOKUP(R10,Orgenheter!$A$1:$C$166,3,FALSE)</f>
        <v>Hum</v>
      </c>
      <c r="U10" s="37" t="str">
        <f>VLOOKUP(D10,Program!$A$1:$B$34,2,FALSE)</f>
        <v>VAL-projektet</v>
      </c>
      <c r="V10" s="41">
        <f>VLOOKUP(A10,kurspris!$A$1:$Q$225,15,FALSE)</f>
        <v>19097</v>
      </c>
      <c r="W10" s="41">
        <f>VLOOKUP(A10,kurspris!$A$1:$Q$225,16,FALSE)</f>
        <v>16075</v>
      </c>
      <c r="X10" s="41">
        <f t="shared" si="1"/>
        <v>8793.0000703440001</v>
      </c>
      <c r="Y10" s="41">
        <f>VLOOKUP(A10,kurspris!$A$1:$Q$225,17,FALSE)</f>
        <v>5900</v>
      </c>
      <c r="Z10" s="41">
        <f t="shared" si="2"/>
        <v>1475.0000118</v>
      </c>
      <c r="AA10" s="41">
        <f t="shared" si="3"/>
        <v>10268.000082144001</v>
      </c>
      <c r="AB10" s="32">
        <f>VLOOKUP($A10,kurspris!$A$1:$Q$262,3,FALSE)</f>
        <v>0</v>
      </c>
      <c r="AC10" s="32">
        <f>VLOOKUP($A10,kurspris!$A$1:$Q$262,4,FALSE)</f>
        <v>1</v>
      </c>
      <c r="AD10" s="32">
        <f>VLOOKUP($A10,kurspris!$A$1:$Q$262,5,FALSE)</f>
        <v>0</v>
      </c>
      <c r="AE10" s="32">
        <f>VLOOKUP($A10,kurspris!$A$1:$Q$262,6,FALSE)</f>
        <v>0</v>
      </c>
      <c r="AF10" s="32">
        <f>VLOOKUP($A10,kurspris!$A$1:$Q$262,7,FALSE)</f>
        <v>0</v>
      </c>
      <c r="AG10" s="32">
        <f>VLOOKUP($A10,kurspris!$A$1:$Q$262,8,FALSE)</f>
        <v>0</v>
      </c>
      <c r="AH10" s="32">
        <f>VLOOKUP($A10,kurspris!$A$1:$Q$262,9,FALSE)</f>
        <v>0</v>
      </c>
      <c r="AI10" s="32">
        <f>VLOOKUP($A10,kurspris!$A$1:$Q$262,10,FALSE)</f>
        <v>0</v>
      </c>
      <c r="AJ10" s="32">
        <f>VLOOKUP($A10,kurspris!$A$1:$Q$262,11,FALSE)</f>
        <v>0</v>
      </c>
      <c r="AK10" s="32">
        <f>VLOOKUP($A10,kurspris!$A$1:$Q$262,12,FALSE)</f>
        <v>0</v>
      </c>
      <c r="AL10" s="32">
        <f>VLOOKUP($A10,kurspris!$A$1:$Q$262,13,FALSE)</f>
        <v>0</v>
      </c>
      <c r="AM10" s="32">
        <f>VLOOKUP($A10,kurspris!$A$1:$Q$262,14,FALSE)</f>
        <v>0</v>
      </c>
      <c r="AN10" s="38" t="s">
        <v>917</v>
      </c>
      <c r="AP10" s="32">
        <f t="shared" si="4"/>
        <v>0</v>
      </c>
      <c r="AQ10" s="234">
        <f t="shared" si="5"/>
        <v>0</v>
      </c>
      <c r="AR10" s="32">
        <f t="shared" si="6"/>
        <v>0.250000002</v>
      </c>
      <c r="AS10" s="234">
        <f t="shared" si="7"/>
        <v>0.250000002</v>
      </c>
      <c r="AT10" s="32">
        <f t="shared" si="8"/>
        <v>0</v>
      </c>
      <c r="AU10" s="32">
        <f t="shared" si="9"/>
        <v>0</v>
      </c>
      <c r="AV10" s="32">
        <f t="shared" si="10"/>
        <v>0</v>
      </c>
      <c r="AW10" s="234">
        <f t="shared" si="11"/>
        <v>0</v>
      </c>
      <c r="AX10" s="226">
        <f t="shared" si="12"/>
        <v>0</v>
      </c>
      <c r="AY10" s="234">
        <f t="shared" si="13"/>
        <v>0</v>
      </c>
      <c r="AZ10" s="32">
        <f t="shared" si="14"/>
        <v>0</v>
      </c>
      <c r="BA10" s="234">
        <f t="shared" si="15"/>
        <v>0</v>
      </c>
      <c r="BB10" s="32">
        <f t="shared" si="16"/>
        <v>0</v>
      </c>
      <c r="BC10" s="234">
        <f t="shared" si="17"/>
        <v>0</v>
      </c>
      <c r="BD10" s="32">
        <f t="shared" si="18"/>
        <v>0</v>
      </c>
      <c r="BE10" s="234">
        <f t="shared" si="19"/>
        <v>0</v>
      </c>
      <c r="BF10" s="32">
        <f t="shared" si="20"/>
        <v>0</v>
      </c>
      <c r="BG10" s="234">
        <f t="shared" si="21"/>
        <v>0</v>
      </c>
      <c r="BH10" s="32">
        <f t="shared" si="22"/>
        <v>0</v>
      </c>
      <c r="BI10" s="32">
        <f t="shared" si="23"/>
        <v>0</v>
      </c>
      <c r="BJ10" s="234">
        <f t="shared" si="24"/>
        <v>0</v>
      </c>
      <c r="BK10" s="32">
        <f t="shared" si="25"/>
        <v>0</v>
      </c>
      <c r="BL10" s="234">
        <f t="shared" si="26"/>
        <v>0</v>
      </c>
    </row>
    <row r="11" spans="1:64" ht="15" customHeight="1" x14ac:dyDescent="0.25">
      <c r="A11" s="221" t="s">
        <v>775</v>
      </c>
      <c r="B11" s="26" t="str">
        <f>VLOOKUP(A11,kurspris!$A$1:$B$304,2,FALSE)</f>
        <v>Biologididaktik för ämneslärare för åk 7-9</v>
      </c>
      <c r="C11" s="56"/>
      <c r="D11" s="32" t="s">
        <v>74</v>
      </c>
      <c r="E11" s="59"/>
      <c r="F11" s="56" t="s">
        <v>892</v>
      </c>
      <c r="G11" s="59"/>
      <c r="H11" s="59"/>
      <c r="K11" s="37"/>
      <c r="L11" s="32">
        <v>50</v>
      </c>
      <c r="M11" s="32">
        <v>7.5</v>
      </c>
      <c r="N11" s="32">
        <v>1</v>
      </c>
      <c r="O11" s="234">
        <v>0.1249999985</v>
      </c>
      <c r="P11" s="39">
        <v>1</v>
      </c>
      <c r="Q11" s="234">
        <f t="shared" si="0"/>
        <v>0.1249999985</v>
      </c>
      <c r="R11" s="32">
        <f>VLOOKUP(A11,'Ansvar kurs'!$A$1:$C$399,2,FALSE)</f>
        <v>5740</v>
      </c>
      <c r="S11" s="32" t="str">
        <f>VLOOKUP(R11,Orgenheter!$A$1:$C$166,2,FALSE)</f>
        <v>NMD</v>
      </c>
      <c r="T11" s="32" t="str">
        <f>VLOOKUP(R11,Orgenheter!$A$1:$C$166,3,FALSE)</f>
        <v>TekNat</v>
      </c>
      <c r="U11" s="37" t="str">
        <f>VLOOKUP(D11,Program!$A$1:$B$34,2,FALSE)</f>
        <v>VAL-projektet</v>
      </c>
      <c r="V11" s="41">
        <f>VLOOKUP(A11,kurspris!$A$1:$Q$225,15,FALSE)</f>
        <v>19863</v>
      </c>
      <c r="W11" s="41">
        <f>VLOOKUP(A11,kurspris!$A$1:$Q$225,16,FALSE)</f>
        <v>35472</v>
      </c>
      <c r="X11" s="41">
        <f t="shared" si="1"/>
        <v>6916.8749169974999</v>
      </c>
      <c r="Y11" s="41">
        <f>VLOOKUP(A11,kurspris!$A$1:$Q$225,17,FALSE)</f>
        <v>22200</v>
      </c>
      <c r="Z11" s="41">
        <f t="shared" si="2"/>
        <v>2774.9999667000002</v>
      </c>
      <c r="AA11" s="41">
        <f t="shared" si="3"/>
        <v>9691.8748836974992</v>
      </c>
      <c r="AB11" s="32">
        <f>VLOOKUP($A11,kurspris!$A$1:$Q$262,3,FALSE)</f>
        <v>0</v>
      </c>
      <c r="AC11" s="32">
        <f>VLOOKUP($A11,kurspris!$A$1:$Q$262,4,FALSE)</f>
        <v>0</v>
      </c>
      <c r="AD11" s="32">
        <f>VLOOKUP($A11,kurspris!$A$1:$Q$262,5,FALSE)</f>
        <v>0</v>
      </c>
      <c r="AE11" s="32">
        <f>VLOOKUP($A11,kurspris!$A$1:$Q$262,6,FALSE)</f>
        <v>0</v>
      </c>
      <c r="AF11" s="32">
        <f>VLOOKUP($A11,kurspris!$A$1:$Q$262,7,FALSE)</f>
        <v>0</v>
      </c>
      <c r="AG11" s="32">
        <f>VLOOKUP($A11,kurspris!$A$1:$Q$262,8,FALSE)</f>
        <v>1</v>
      </c>
      <c r="AH11" s="32">
        <f>VLOOKUP($A11,kurspris!$A$1:$Q$262,9,FALSE)</f>
        <v>0</v>
      </c>
      <c r="AI11" s="32">
        <f>VLOOKUP($A11,kurspris!$A$1:$Q$262,10,FALSE)</f>
        <v>0</v>
      </c>
      <c r="AJ11" s="32">
        <f>VLOOKUP($A11,kurspris!$A$1:$Q$262,11,FALSE)</f>
        <v>0</v>
      </c>
      <c r="AK11" s="32">
        <f>VLOOKUP($A11,kurspris!$A$1:$Q$262,12,FALSE)</f>
        <v>0</v>
      </c>
      <c r="AL11" s="32">
        <f>VLOOKUP($A11,kurspris!$A$1:$Q$262,13,FALSE)</f>
        <v>0</v>
      </c>
      <c r="AM11" s="32">
        <f>VLOOKUP($A11,kurspris!$A$1:$Q$262,14,FALSE)</f>
        <v>0</v>
      </c>
      <c r="AN11" s="38" t="s">
        <v>917</v>
      </c>
      <c r="AP11" s="32">
        <f t="shared" si="4"/>
        <v>0</v>
      </c>
      <c r="AQ11" s="234">
        <f t="shared" si="5"/>
        <v>0</v>
      </c>
      <c r="AR11" s="32">
        <f t="shared" si="6"/>
        <v>0</v>
      </c>
      <c r="AS11" s="234">
        <f t="shared" si="7"/>
        <v>0</v>
      </c>
      <c r="AT11" s="32">
        <f t="shared" si="8"/>
        <v>0</v>
      </c>
      <c r="AU11" s="32">
        <f t="shared" si="9"/>
        <v>0</v>
      </c>
      <c r="AV11" s="32">
        <f t="shared" si="10"/>
        <v>0</v>
      </c>
      <c r="AW11" s="234">
        <f t="shared" si="11"/>
        <v>0</v>
      </c>
      <c r="AX11" s="226">
        <f t="shared" si="12"/>
        <v>0</v>
      </c>
      <c r="AY11" s="234">
        <f t="shared" si="13"/>
        <v>0</v>
      </c>
      <c r="AZ11" s="32">
        <f t="shared" si="14"/>
        <v>0.1249999985</v>
      </c>
      <c r="BA11" s="234">
        <f t="shared" si="15"/>
        <v>0.1249999985</v>
      </c>
      <c r="BB11" s="32">
        <f t="shared" si="16"/>
        <v>0</v>
      </c>
      <c r="BC11" s="234">
        <f t="shared" si="17"/>
        <v>0</v>
      </c>
      <c r="BD11" s="32">
        <f t="shared" si="18"/>
        <v>0</v>
      </c>
      <c r="BE11" s="234">
        <f t="shared" si="19"/>
        <v>0</v>
      </c>
      <c r="BF11" s="32">
        <f t="shared" si="20"/>
        <v>0</v>
      </c>
      <c r="BG11" s="234">
        <f t="shared" si="21"/>
        <v>0</v>
      </c>
      <c r="BH11" s="32">
        <f t="shared" si="22"/>
        <v>0</v>
      </c>
      <c r="BI11" s="32">
        <f t="shared" si="23"/>
        <v>0</v>
      </c>
      <c r="BJ11" s="234">
        <f t="shared" si="24"/>
        <v>0</v>
      </c>
      <c r="BK11" s="32">
        <f t="shared" si="25"/>
        <v>0</v>
      </c>
      <c r="BL11" s="234">
        <f t="shared" si="26"/>
        <v>0</v>
      </c>
    </row>
    <row r="12" spans="1:64" ht="15" customHeight="1" x14ac:dyDescent="0.25">
      <c r="A12" s="221" t="s">
        <v>607</v>
      </c>
      <c r="B12" s="26" t="str">
        <f>VLOOKUP(A12,kurspris!$A$1:$B$304,2,FALSE)</f>
        <v>Bedömning - grundnivå (VAL, ULV)</v>
      </c>
      <c r="C12" s="56"/>
      <c r="D12" s="32" t="s">
        <v>74</v>
      </c>
      <c r="E12" s="59"/>
      <c r="F12" s="56" t="s">
        <v>892</v>
      </c>
      <c r="G12" s="59"/>
      <c r="H12" s="59"/>
      <c r="K12" s="37"/>
      <c r="L12" s="32">
        <v>50</v>
      </c>
      <c r="M12" s="32">
        <v>7.5</v>
      </c>
      <c r="N12" s="32">
        <v>53</v>
      </c>
      <c r="O12" s="234">
        <v>6.6250001325000003</v>
      </c>
      <c r="P12" s="39">
        <v>1</v>
      </c>
      <c r="Q12" s="234">
        <f t="shared" si="0"/>
        <v>6.6250001325000003</v>
      </c>
      <c r="R12" s="32">
        <f>VLOOKUP(A12,'Ansvar kurs'!$A$1:$C$399,2,FALSE)</f>
        <v>5740</v>
      </c>
      <c r="S12" s="32" t="str">
        <f>VLOOKUP(R12,Orgenheter!$A$1:$C$166,2,FALSE)</f>
        <v>NMD</v>
      </c>
      <c r="T12" s="32" t="str">
        <f>VLOOKUP(R12,Orgenheter!$A$1:$C$166,3,FALSE)</f>
        <v>TekNat</v>
      </c>
      <c r="U12" s="37" t="str">
        <f>VLOOKUP(D12,Program!$A$1:$B$34,2,FALSE)</f>
        <v>VAL-projektet</v>
      </c>
      <c r="V12" s="41">
        <f>VLOOKUP(A12,kurspris!$A$1:$Q$225,15,FALSE)</f>
        <v>24104</v>
      </c>
      <c r="W12" s="41">
        <f>VLOOKUP(A12,kurspris!$A$1:$Q$225,16,FALSE)</f>
        <v>31432</v>
      </c>
      <c r="X12" s="41">
        <f t="shared" si="1"/>
        <v>367926.00735852</v>
      </c>
      <c r="Y12" s="41">
        <f>VLOOKUP(A12,kurspris!$A$1:$Q$225,17,FALSE)</f>
        <v>5900</v>
      </c>
      <c r="Z12" s="41">
        <f t="shared" si="2"/>
        <v>39087.500781750001</v>
      </c>
      <c r="AA12" s="41">
        <f t="shared" si="3"/>
        <v>407013.50814027002</v>
      </c>
      <c r="AB12" s="32">
        <f>VLOOKUP($A12,kurspris!$A$1:$Q$262,3,FALSE)</f>
        <v>0</v>
      </c>
      <c r="AC12" s="32">
        <f>VLOOKUP($A12,kurspris!$A$1:$Q$262,4,FALSE)</f>
        <v>0</v>
      </c>
      <c r="AD12" s="32">
        <f>VLOOKUP($A12,kurspris!$A$1:$Q$262,5,FALSE)</f>
        <v>0</v>
      </c>
      <c r="AE12" s="32">
        <f>VLOOKUP($A12,kurspris!$A$1:$Q$262,6,FALSE)</f>
        <v>1</v>
      </c>
      <c r="AF12" s="32">
        <f>VLOOKUP($A12,kurspris!$A$1:$Q$262,7,FALSE)</f>
        <v>0</v>
      </c>
      <c r="AG12" s="32">
        <f>VLOOKUP($A12,kurspris!$A$1:$Q$262,8,FALSE)</f>
        <v>0</v>
      </c>
      <c r="AH12" s="32">
        <f>VLOOKUP($A12,kurspris!$A$1:$Q$262,9,FALSE)</f>
        <v>0</v>
      </c>
      <c r="AI12" s="32">
        <f>VLOOKUP($A12,kurspris!$A$1:$Q$262,10,FALSE)</f>
        <v>0</v>
      </c>
      <c r="AJ12" s="32">
        <f>VLOOKUP($A12,kurspris!$A$1:$Q$262,11,FALSE)</f>
        <v>0</v>
      </c>
      <c r="AK12" s="32">
        <f>VLOOKUP($A12,kurspris!$A$1:$Q$262,12,FALSE)</f>
        <v>0</v>
      </c>
      <c r="AL12" s="32">
        <f>VLOOKUP($A12,kurspris!$A$1:$Q$262,13,FALSE)</f>
        <v>0</v>
      </c>
      <c r="AM12" s="32">
        <f>VLOOKUP($A12,kurspris!$A$1:$Q$262,14,FALSE)</f>
        <v>0</v>
      </c>
      <c r="AN12" s="38" t="s">
        <v>917</v>
      </c>
      <c r="AP12" s="32">
        <f t="shared" si="4"/>
        <v>0</v>
      </c>
      <c r="AQ12" s="234">
        <f t="shared" si="5"/>
        <v>0</v>
      </c>
      <c r="AR12" s="32">
        <f t="shared" si="6"/>
        <v>0</v>
      </c>
      <c r="AS12" s="234">
        <f t="shared" si="7"/>
        <v>0</v>
      </c>
      <c r="AT12" s="32">
        <f t="shared" si="8"/>
        <v>0</v>
      </c>
      <c r="AU12" s="32">
        <f t="shared" si="9"/>
        <v>0</v>
      </c>
      <c r="AV12" s="32">
        <f t="shared" si="10"/>
        <v>6.6250001325000003</v>
      </c>
      <c r="AW12" s="234">
        <f t="shared" si="11"/>
        <v>6.6250001325000003</v>
      </c>
      <c r="AX12" s="226">
        <f t="shared" si="12"/>
        <v>0</v>
      </c>
      <c r="AY12" s="234">
        <f t="shared" si="13"/>
        <v>0</v>
      </c>
      <c r="AZ12" s="32">
        <f t="shared" si="14"/>
        <v>0</v>
      </c>
      <c r="BA12" s="234">
        <f t="shared" si="15"/>
        <v>0</v>
      </c>
      <c r="BB12" s="32">
        <f t="shared" si="16"/>
        <v>0</v>
      </c>
      <c r="BC12" s="234">
        <f t="shared" si="17"/>
        <v>0</v>
      </c>
      <c r="BD12" s="32">
        <f t="shared" si="18"/>
        <v>0</v>
      </c>
      <c r="BE12" s="234">
        <f t="shared" si="19"/>
        <v>0</v>
      </c>
      <c r="BF12" s="32">
        <f t="shared" si="20"/>
        <v>0</v>
      </c>
      <c r="BG12" s="234">
        <f t="shared" si="21"/>
        <v>0</v>
      </c>
      <c r="BH12" s="32">
        <f t="shared" si="22"/>
        <v>0</v>
      </c>
      <c r="BI12" s="32">
        <f t="shared" si="23"/>
        <v>0</v>
      </c>
      <c r="BJ12" s="234">
        <f t="shared" si="24"/>
        <v>0</v>
      </c>
      <c r="BK12" s="32">
        <f t="shared" si="25"/>
        <v>0</v>
      </c>
      <c r="BL12" s="234">
        <f t="shared" si="26"/>
        <v>0</v>
      </c>
    </row>
    <row r="13" spans="1:64" ht="15" customHeight="1" x14ac:dyDescent="0.25">
      <c r="A13" s="221" t="s">
        <v>608</v>
      </c>
      <c r="B13" s="26" t="str">
        <f>VLOOKUP(A13,kurspris!$A$1:$B$304,2,FALSE)</f>
        <v>Bedömning - avancerad nivå (VAL, ULV)</v>
      </c>
      <c r="C13" s="56"/>
      <c r="D13" s="32" t="s">
        <v>74</v>
      </c>
      <c r="E13" s="59"/>
      <c r="F13" s="56" t="s">
        <v>892</v>
      </c>
      <c r="G13" s="59"/>
      <c r="H13" s="59"/>
      <c r="K13" s="37"/>
      <c r="L13" s="32">
        <v>50</v>
      </c>
      <c r="M13" s="32">
        <v>7.5</v>
      </c>
      <c r="N13" s="32">
        <v>1</v>
      </c>
      <c r="O13" s="234">
        <v>0.12500000250000001</v>
      </c>
      <c r="P13" s="39">
        <v>1</v>
      </c>
      <c r="Q13" s="234">
        <f t="shared" si="0"/>
        <v>0.12500000250000001</v>
      </c>
      <c r="R13" s="32">
        <f>VLOOKUP(A13,'Ansvar kurs'!$A$1:$C$399,2,FALSE)</f>
        <v>5740</v>
      </c>
      <c r="S13" s="32" t="str">
        <f>VLOOKUP(R13,Orgenheter!$A$1:$C$166,2,FALSE)</f>
        <v>NMD</v>
      </c>
      <c r="T13" s="32" t="str">
        <f>VLOOKUP(R13,Orgenheter!$A$1:$C$166,3,FALSE)</f>
        <v>TekNat</v>
      </c>
      <c r="U13" s="37" t="str">
        <f>VLOOKUP(D13,Program!$A$1:$B$34,2,FALSE)</f>
        <v>VAL-projektet</v>
      </c>
      <c r="V13" s="41">
        <f>VLOOKUP(A13,kurspris!$A$1:$Q$225,15,FALSE)</f>
        <v>24104</v>
      </c>
      <c r="W13" s="41">
        <f>VLOOKUP(A13,kurspris!$A$1:$Q$225,16,FALSE)</f>
        <v>31432</v>
      </c>
      <c r="X13" s="41">
        <f t="shared" si="1"/>
        <v>6942.0001388400005</v>
      </c>
      <c r="Y13" s="41">
        <f>VLOOKUP(A13,kurspris!$A$1:$Q$225,17,FALSE)</f>
        <v>5900</v>
      </c>
      <c r="Z13" s="41">
        <f t="shared" si="2"/>
        <v>737.5000147500001</v>
      </c>
      <c r="AA13" s="41">
        <f t="shared" si="3"/>
        <v>7679.500153590001</v>
      </c>
      <c r="AB13" s="32">
        <f>VLOOKUP($A13,kurspris!$A$1:$Q$262,3,FALSE)</f>
        <v>0</v>
      </c>
      <c r="AC13" s="32">
        <f>VLOOKUP($A13,kurspris!$A$1:$Q$262,4,FALSE)</f>
        <v>0</v>
      </c>
      <c r="AD13" s="32">
        <f>VLOOKUP($A13,kurspris!$A$1:$Q$262,5,FALSE)</f>
        <v>0</v>
      </c>
      <c r="AE13" s="32">
        <f>VLOOKUP($A13,kurspris!$A$1:$Q$262,6,FALSE)</f>
        <v>1</v>
      </c>
      <c r="AF13" s="32">
        <f>VLOOKUP($A13,kurspris!$A$1:$Q$262,7,FALSE)</f>
        <v>0</v>
      </c>
      <c r="AG13" s="32">
        <f>VLOOKUP($A13,kurspris!$A$1:$Q$262,8,FALSE)</f>
        <v>0</v>
      </c>
      <c r="AH13" s="32">
        <f>VLOOKUP($A13,kurspris!$A$1:$Q$262,9,FALSE)</f>
        <v>0</v>
      </c>
      <c r="AI13" s="32">
        <f>VLOOKUP($A13,kurspris!$A$1:$Q$262,10,FALSE)</f>
        <v>0</v>
      </c>
      <c r="AJ13" s="32">
        <f>VLOOKUP($A13,kurspris!$A$1:$Q$262,11,FALSE)</f>
        <v>0</v>
      </c>
      <c r="AK13" s="32">
        <f>VLOOKUP($A13,kurspris!$A$1:$Q$262,12,FALSE)</f>
        <v>0</v>
      </c>
      <c r="AL13" s="32">
        <f>VLOOKUP($A13,kurspris!$A$1:$Q$262,13,FALSE)</f>
        <v>0</v>
      </c>
      <c r="AM13" s="32">
        <f>VLOOKUP($A13,kurspris!$A$1:$Q$262,14,FALSE)</f>
        <v>0</v>
      </c>
      <c r="AN13" s="38" t="s">
        <v>917</v>
      </c>
      <c r="AO13"/>
      <c r="AP13" s="32">
        <f t="shared" si="4"/>
        <v>0</v>
      </c>
      <c r="AQ13" s="234">
        <f t="shared" si="5"/>
        <v>0</v>
      </c>
      <c r="AR13" s="32">
        <f t="shared" si="6"/>
        <v>0</v>
      </c>
      <c r="AS13" s="234">
        <f t="shared" si="7"/>
        <v>0</v>
      </c>
      <c r="AT13" s="32">
        <f t="shared" si="8"/>
        <v>0</v>
      </c>
      <c r="AU13" s="32">
        <f t="shared" si="9"/>
        <v>0</v>
      </c>
      <c r="AV13" s="32">
        <f t="shared" si="10"/>
        <v>0.12500000250000001</v>
      </c>
      <c r="AW13" s="234">
        <f t="shared" si="11"/>
        <v>0.12500000250000001</v>
      </c>
      <c r="AX13" s="226">
        <f t="shared" si="12"/>
        <v>0</v>
      </c>
      <c r="AY13" s="234">
        <f t="shared" si="13"/>
        <v>0</v>
      </c>
      <c r="AZ13" s="32">
        <f t="shared" si="14"/>
        <v>0</v>
      </c>
      <c r="BA13" s="234">
        <f t="shared" si="15"/>
        <v>0</v>
      </c>
      <c r="BB13" s="32">
        <f t="shared" si="16"/>
        <v>0</v>
      </c>
      <c r="BC13" s="234">
        <f t="shared" si="17"/>
        <v>0</v>
      </c>
      <c r="BD13" s="32">
        <f t="shared" si="18"/>
        <v>0</v>
      </c>
      <c r="BE13" s="234">
        <f t="shared" si="19"/>
        <v>0</v>
      </c>
      <c r="BF13" s="32">
        <f t="shared" si="20"/>
        <v>0</v>
      </c>
      <c r="BG13" s="234">
        <f t="shared" si="21"/>
        <v>0</v>
      </c>
      <c r="BH13" s="32">
        <f t="shared" si="22"/>
        <v>0</v>
      </c>
      <c r="BI13" s="32">
        <f t="shared" si="23"/>
        <v>0</v>
      </c>
      <c r="BJ13" s="234">
        <f t="shared" si="24"/>
        <v>0</v>
      </c>
      <c r="BK13" s="32">
        <f t="shared" si="25"/>
        <v>0</v>
      </c>
      <c r="BL13" s="234">
        <f t="shared" si="26"/>
        <v>0</v>
      </c>
    </row>
    <row r="14" spans="1:64" ht="15" customHeight="1" x14ac:dyDescent="0.25">
      <c r="A14" s="32" t="s">
        <v>609</v>
      </c>
      <c r="B14" s="26" t="str">
        <f>VLOOKUP(A14,kurspris!$A$1:$B$304,2,FALSE)</f>
        <v>Vetenskap och kunskap - grundnivå (VAL, ULV)</v>
      </c>
      <c r="C14" s="56"/>
      <c r="D14" s="32" t="s">
        <v>74</v>
      </c>
      <c r="E14" s="59"/>
      <c r="F14" s="56" t="s">
        <v>892</v>
      </c>
      <c r="H14" s="59"/>
      <c r="L14" s="32">
        <v>50</v>
      </c>
      <c r="M14" s="32">
        <v>7.5</v>
      </c>
      <c r="N14" s="32">
        <v>28</v>
      </c>
      <c r="O14" s="234">
        <v>3.5000000700000005</v>
      </c>
      <c r="P14" s="39">
        <v>1</v>
      </c>
      <c r="Q14" s="234">
        <f t="shared" si="0"/>
        <v>3.5000000700000005</v>
      </c>
      <c r="R14" s="32">
        <f>VLOOKUP(A14,'Ansvar kurs'!$A$1:$C$399,2,FALSE)</f>
        <v>5740</v>
      </c>
      <c r="S14" s="32" t="str">
        <f>VLOOKUP(R14,Orgenheter!$A$1:$C$166,2,FALSE)</f>
        <v>NMD</v>
      </c>
      <c r="T14" s="32" t="str">
        <f>VLOOKUP(R14,Orgenheter!$A$1:$C$166,3,FALSE)</f>
        <v>TekNat</v>
      </c>
      <c r="U14" s="37" t="str">
        <f>VLOOKUP(D14,Program!$A$1:$B$34,2,FALSE)</f>
        <v>VAL-projektet</v>
      </c>
      <c r="V14" s="41">
        <f>VLOOKUP(A14,kurspris!$A$1:$Q$225,15,FALSE)</f>
        <v>24104</v>
      </c>
      <c r="W14" s="41">
        <f>VLOOKUP(A14,kurspris!$A$1:$Q$225,16,FALSE)</f>
        <v>31432</v>
      </c>
      <c r="X14" s="41">
        <f t="shared" si="1"/>
        <v>194376.00388752</v>
      </c>
      <c r="Y14" s="41">
        <f>VLOOKUP(A14,kurspris!$A$1:$Q$225,17,FALSE)</f>
        <v>5900</v>
      </c>
      <c r="Z14" s="41">
        <f t="shared" si="2"/>
        <v>20650.000413000002</v>
      </c>
      <c r="AA14" s="41">
        <f t="shared" si="3"/>
        <v>215026.00430052</v>
      </c>
      <c r="AB14" s="32">
        <f>VLOOKUP($A14,kurspris!$A$1:$Q$262,3,FALSE)</f>
        <v>0</v>
      </c>
      <c r="AC14" s="32">
        <f>VLOOKUP($A14,kurspris!$A$1:$Q$262,4,FALSE)</f>
        <v>0</v>
      </c>
      <c r="AD14" s="32">
        <f>VLOOKUP($A14,kurspris!$A$1:$Q$262,5,FALSE)</f>
        <v>0</v>
      </c>
      <c r="AE14" s="32">
        <f>VLOOKUP($A14,kurspris!$A$1:$Q$262,6,FALSE)</f>
        <v>1</v>
      </c>
      <c r="AF14" s="32">
        <f>VLOOKUP($A14,kurspris!$A$1:$Q$262,7,FALSE)</f>
        <v>0</v>
      </c>
      <c r="AG14" s="32">
        <f>VLOOKUP($A14,kurspris!$A$1:$Q$262,8,FALSE)</f>
        <v>0</v>
      </c>
      <c r="AH14" s="32">
        <f>VLOOKUP($A14,kurspris!$A$1:$Q$262,9,FALSE)</f>
        <v>0</v>
      </c>
      <c r="AI14" s="32">
        <f>VLOOKUP($A14,kurspris!$A$1:$Q$262,10,FALSE)</f>
        <v>0</v>
      </c>
      <c r="AJ14" s="32">
        <f>VLOOKUP($A14,kurspris!$A$1:$Q$262,11,FALSE)</f>
        <v>0</v>
      </c>
      <c r="AK14" s="32">
        <f>VLOOKUP($A14,kurspris!$A$1:$Q$262,12,FALSE)</f>
        <v>0</v>
      </c>
      <c r="AL14" s="32">
        <f>VLOOKUP($A14,kurspris!$A$1:$Q$262,13,FALSE)</f>
        <v>0</v>
      </c>
      <c r="AM14" s="32">
        <f>VLOOKUP($A14,kurspris!$A$1:$Q$262,14,FALSE)</f>
        <v>0</v>
      </c>
      <c r="AN14" s="38" t="s">
        <v>917</v>
      </c>
      <c r="AO14"/>
      <c r="AP14" s="32">
        <f t="shared" si="4"/>
        <v>0</v>
      </c>
      <c r="AQ14" s="234">
        <f t="shared" si="5"/>
        <v>0</v>
      </c>
      <c r="AR14" s="32">
        <f t="shared" si="6"/>
        <v>0</v>
      </c>
      <c r="AS14" s="234">
        <f t="shared" si="7"/>
        <v>0</v>
      </c>
      <c r="AT14" s="32">
        <f t="shared" si="8"/>
        <v>0</v>
      </c>
      <c r="AU14" s="32">
        <f t="shared" si="9"/>
        <v>0</v>
      </c>
      <c r="AV14" s="32">
        <f t="shared" si="10"/>
        <v>3.5000000700000005</v>
      </c>
      <c r="AW14" s="234">
        <f t="shared" si="11"/>
        <v>3.5000000700000005</v>
      </c>
      <c r="AX14" s="226">
        <f t="shared" si="12"/>
        <v>0</v>
      </c>
      <c r="AY14" s="234">
        <f t="shared" si="13"/>
        <v>0</v>
      </c>
      <c r="AZ14" s="32">
        <f t="shared" si="14"/>
        <v>0</v>
      </c>
      <c r="BA14" s="234">
        <f t="shared" si="15"/>
        <v>0</v>
      </c>
      <c r="BB14" s="32">
        <f t="shared" si="16"/>
        <v>0</v>
      </c>
      <c r="BC14" s="234">
        <f t="shared" si="17"/>
        <v>0</v>
      </c>
      <c r="BD14" s="32">
        <f t="shared" si="18"/>
        <v>0</v>
      </c>
      <c r="BE14" s="234">
        <f t="shared" si="19"/>
        <v>0</v>
      </c>
      <c r="BF14" s="32">
        <f t="shared" si="20"/>
        <v>0</v>
      </c>
      <c r="BG14" s="234">
        <f t="shared" si="21"/>
        <v>0</v>
      </c>
      <c r="BH14" s="32">
        <f t="shared" si="22"/>
        <v>0</v>
      </c>
      <c r="BI14" s="32">
        <f t="shared" si="23"/>
        <v>0</v>
      </c>
      <c r="BJ14" s="234">
        <f t="shared" si="24"/>
        <v>0</v>
      </c>
      <c r="BK14" s="32">
        <f t="shared" si="25"/>
        <v>0</v>
      </c>
      <c r="BL14" s="234">
        <f t="shared" si="26"/>
        <v>0</v>
      </c>
    </row>
    <row r="15" spans="1:64" ht="15" customHeight="1" x14ac:dyDescent="0.25">
      <c r="A15" s="221" t="s">
        <v>776</v>
      </c>
      <c r="B15" s="26" t="str">
        <f>VLOOKUP(A15,kurspris!$A$1:$B$304,2,FALSE)</f>
        <v>Examensarbete - estetiska ämnen</v>
      </c>
      <c r="C15" s="56"/>
      <c r="D15" s="32" t="s">
        <v>74</v>
      </c>
      <c r="E15" s="59"/>
      <c r="F15" s="56" t="s">
        <v>892</v>
      </c>
      <c r="G15" s="59"/>
      <c r="H15" s="59"/>
      <c r="K15" s="37"/>
      <c r="L15" s="32">
        <v>100</v>
      </c>
      <c r="M15" s="32">
        <v>0</v>
      </c>
      <c r="N15" s="32">
        <v>1</v>
      </c>
      <c r="O15" s="234">
        <v>0</v>
      </c>
      <c r="P15" s="39">
        <v>1</v>
      </c>
      <c r="Q15" s="234">
        <f t="shared" si="0"/>
        <v>0</v>
      </c>
      <c r="R15" s="32">
        <f>VLOOKUP(A15,'Ansvar kurs'!$A$1:$C$399,2,FALSE)</f>
        <v>1650</v>
      </c>
      <c r="S15" s="32" t="str">
        <f>VLOOKUP(R15,Orgenheter!$A$1:$C$166,2,FALSE)</f>
        <v xml:space="preserve">Estetiska ämnen               </v>
      </c>
      <c r="T15" s="32" t="str">
        <f>VLOOKUP(R15,Orgenheter!$A$1:$C$166,3,FALSE)</f>
        <v>Hum</v>
      </c>
      <c r="U15" s="37" t="str">
        <f>VLOOKUP(D15,Program!$A$1:$B$34,2,FALSE)</f>
        <v>VAL-projektet</v>
      </c>
      <c r="V15" s="41">
        <f>VLOOKUP(A15,kurspris!$A$1:$Q$225,15,FALSE)</f>
        <v>19097</v>
      </c>
      <c r="W15" s="41">
        <f>VLOOKUP(A15,kurspris!$A$1:$Q$225,16,FALSE)</f>
        <v>16075</v>
      </c>
      <c r="X15" s="41">
        <f t="shared" si="1"/>
        <v>0</v>
      </c>
      <c r="Y15" s="41">
        <f>VLOOKUP(A15,kurspris!$A$1:$Q$225,17,FALSE)</f>
        <v>5900</v>
      </c>
      <c r="Z15" s="41">
        <f t="shared" si="2"/>
        <v>0</v>
      </c>
      <c r="AA15" s="41">
        <f t="shared" si="3"/>
        <v>0</v>
      </c>
      <c r="AB15" s="32">
        <f>VLOOKUP($A15,kurspris!$A$1:$Q$262,3,FALSE)</f>
        <v>0</v>
      </c>
      <c r="AC15" s="32">
        <f>VLOOKUP($A15,kurspris!$A$1:$Q$262,4,FALSE)</f>
        <v>1</v>
      </c>
      <c r="AD15" s="32">
        <f>VLOOKUP($A15,kurspris!$A$1:$Q$262,5,FALSE)</f>
        <v>0</v>
      </c>
      <c r="AE15" s="32">
        <f>VLOOKUP($A15,kurspris!$A$1:$Q$262,6,FALSE)</f>
        <v>0</v>
      </c>
      <c r="AF15" s="32">
        <f>VLOOKUP($A15,kurspris!$A$1:$Q$262,7,FALSE)</f>
        <v>0</v>
      </c>
      <c r="AG15" s="32">
        <f>VLOOKUP($A15,kurspris!$A$1:$Q$262,8,FALSE)</f>
        <v>0</v>
      </c>
      <c r="AH15" s="32">
        <f>VLOOKUP($A15,kurspris!$A$1:$Q$262,9,FALSE)</f>
        <v>0</v>
      </c>
      <c r="AI15" s="32">
        <f>VLOOKUP($A15,kurspris!$A$1:$Q$262,10,FALSE)</f>
        <v>0</v>
      </c>
      <c r="AJ15" s="32">
        <f>VLOOKUP($A15,kurspris!$A$1:$Q$262,11,FALSE)</f>
        <v>0</v>
      </c>
      <c r="AK15" s="32">
        <f>VLOOKUP($A15,kurspris!$A$1:$Q$262,12,FALSE)</f>
        <v>0</v>
      </c>
      <c r="AL15" s="32">
        <f>VLOOKUP($A15,kurspris!$A$1:$Q$262,13,FALSE)</f>
        <v>0</v>
      </c>
      <c r="AM15" s="32">
        <f>VLOOKUP($A15,kurspris!$A$1:$Q$262,14,FALSE)</f>
        <v>0</v>
      </c>
      <c r="AN15" s="38" t="s">
        <v>917</v>
      </c>
      <c r="AP15" s="32">
        <f t="shared" si="4"/>
        <v>0</v>
      </c>
      <c r="AQ15" s="234">
        <f t="shared" si="5"/>
        <v>0</v>
      </c>
      <c r="AR15" s="32">
        <f t="shared" si="6"/>
        <v>0</v>
      </c>
      <c r="AS15" s="234">
        <f t="shared" si="7"/>
        <v>0</v>
      </c>
      <c r="AT15" s="32">
        <f t="shared" si="8"/>
        <v>0</v>
      </c>
      <c r="AU15" s="32">
        <f t="shared" si="9"/>
        <v>0</v>
      </c>
      <c r="AV15" s="32">
        <f t="shared" si="10"/>
        <v>0</v>
      </c>
      <c r="AW15" s="234">
        <f t="shared" si="11"/>
        <v>0</v>
      </c>
      <c r="AX15" s="226">
        <f t="shared" si="12"/>
        <v>0</v>
      </c>
      <c r="AY15" s="234">
        <f t="shared" si="13"/>
        <v>0</v>
      </c>
      <c r="AZ15" s="32">
        <f t="shared" si="14"/>
        <v>0</v>
      </c>
      <c r="BA15" s="234">
        <f t="shared" si="15"/>
        <v>0</v>
      </c>
      <c r="BB15" s="32">
        <f t="shared" si="16"/>
        <v>0</v>
      </c>
      <c r="BC15" s="234">
        <f t="shared" si="17"/>
        <v>0</v>
      </c>
      <c r="BD15" s="32">
        <f t="shared" si="18"/>
        <v>0</v>
      </c>
      <c r="BE15" s="234">
        <f t="shared" si="19"/>
        <v>0</v>
      </c>
      <c r="BF15" s="32">
        <f t="shared" si="20"/>
        <v>0</v>
      </c>
      <c r="BG15" s="234">
        <f t="shared" si="21"/>
        <v>0</v>
      </c>
      <c r="BH15" s="32">
        <f t="shared" si="22"/>
        <v>0</v>
      </c>
      <c r="BI15" s="32">
        <f t="shared" si="23"/>
        <v>0</v>
      </c>
      <c r="BJ15" s="234">
        <f t="shared" si="24"/>
        <v>0</v>
      </c>
      <c r="BK15" s="32">
        <f t="shared" si="25"/>
        <v>0</v>
      </c>
      <c r="BL15" s="234">
        <f t="shared" si="26"/>
        <v>0</v>
      </c>
    </row>
    <row r="16" spans="1:64" ht="15" customHeight="1" x14ac:dyDescent="0.25">
      <c r="A16" s="221" t="s">
        <v>710</v>
      </c>
      <c r="B16" s="26" t="str">
        <f>VLOOKUP(A16,kurspris!$A$1:$B$304,2,FALSE)</f>
        <v>Ämnesdidaktik i skolpraktiken, del 1</v>
      </c>
      <c r="C16" s="351"/>
      <c r="D16" s="59" t="s">
        <v>74</v>
      </c>
      <c r="E16" s="59"/>
      <c r="F16" s="56" t="s">
        <v>892</v>
      </c>
      <c r="G16" s="59"/>
      <c r="H16" s="59"/>
      <c r="K16" s="37"/>
      <c r="L16" s="32">
        <v>50</v>
      </c>
      <c r="M16" s="32">
        <v>15</v>
      </c>
      <c r="N16" s="32">
        <v>4</v>
      </c>
      <c r="O16" s="234">
        <v>1.000000008</v>
      </c>
      <c r="P16" s="39">
        <v>1</v>
      </c>
      <c r="Q16" s="234">
        <f t="shared" si="0"/>
        <v>1.000000008</v>
      </c>
      <c r="R16" s="32">
        <f>VLOOKUP(A16,'Ansvar kurs'!$A$1:$C$399,2,FALSE)</f>
        <v>1650</v>
      </c>
      <c r="S16" s="32" t="str">
        <f>VLOOKUP(R16,Orgenheter!$A$1:$C$166,2,FALSE)</f>
        <v xml:space="preserve">Estetiska ämnen               </v>
      </c>
      <c r="T16" s="32" t="str">
        <f>VLOOKUP(R16,Orgenheter!$A$1:$C$166,3,FALSE)</f>
        <v>Hum</v>
      </c>
      <c r="U16" s="37" t="str">
        <f>VLOOKUP(D16,Program!$A$1:$B$34,2,FALSE)</f>
        <v>VAL-projektet</v>
      </c>
      <c r="V16" s="41">
        <f>VLOOKUP(A16,kurspris!$A$1:$Q$225,15,FALSE)</f>
        <v>24740</v>
      </c>
      <c r="W16" s="41">
        <f>VLOOKUP(A16,kurspris!$A$1:$Q$225,16,FALSE)</f>
        <v>27503</v>
      </c>
      <c r="X16" s="41">
        <f t="shared" si="1"/>
        <v>52243.000417944</v>
      </c>
      <c r="Y16" s="41">
        <f>VLOOKUP(A16,kurspris!$A$1:$Q$225,17,FALSE)</f>
        <v>3500</v>
      </c>
      <c r="Z16" s="41">
        <f t="shared" si="2"/>
        <v>3500.0000279999999</v>
      </c>
      <c r="AA16" s="41">
        <f t="shared" si="3"/>
        <v>55743.000445944002</v>
      </c>
      <c r="AB16" s="32">
        <f>VLOOKUP($A16,kurspris!$A$1:$Q$262,3,FALSE)</f>
        <v>0</v>
      </c>
      <c r="AC16" s="32">
        <f>VLOOKUP($A16,kurspris!$A$1:$Q$262,4,FALSE)</f>
        <v>0</v>
      </c>
      <c r="AD16" s="32">
        <f>VLOOKUP($A16,kurspris!$A$1:$Q$262,5,FALSE)</f>
        <v>0</v>
      </c>
      <c r="AE16" s="32">
        <f>VLOOKUP($A16,kurspris!$A$1:$Q$262,6,FALSE)</f>
        <v>0</v>
      </c>
      <c r="AF16" s="32">
        <f>VLOOKUP($A16,kurspris!$A$1:$Q$262,7,FALSE)</f>
        <v>0</v>
      </c>
      <c r="AG16" s="32">
        <f>VLOOKUP($A16,kurspris!$A$1:$Q$262,8,FALSE)</f>
        <v>0</v>
      </c>
      <c r="AH16" s="32">
        <f>VLOOKUP($A16,kurspris!$A$1:$Q$262,9,FALSE)</f>
        <v>0</v>
      </c>
      <c r="AI16" s="32">
        <f>VLOOKUP($A16,kurspris!$A$1:$Q$262,10,FALSE)</f>
        <v>0</v>
      </c>
      <c r="AJ16" s="32">
        <f>VLOOKUP($A16,kurspris!$A$1:$Q$262,11,FALSE)</f>
        <v>1</v>
      </c>
      <c r="AK16" s="32">
        <f>VLOOKUP($A16,kurspris!$A$1:$Q$262,12,FALSE)</f>
        <v>0</v>
      </c>
      <c r="AL16" s="32">
        <f>VLOOKUP($A16,kurspris!$A$1:$Q$262,13,FALSE)</f>
        <v>0</v>
      </c>
      <c r="AM16" s="32">
        <f>VLOOKUP($A16,kurspris!$A$1:$Q$262,14,FALSE)</f>
        <v>0</v>
      </c>
      <c r="AN16" s="38" t="s">
        <v>917</v>
      </c>
      <c r="AO16" s="38"/>
      <c r="AP16" s="32">
        <f t="shared" si="4"/>
        <v>0</v>
      </c>
      <c r="AQ16" s="234">
        <f t="shared" si="5"/>
        <v>0</v>
      </c>
      <c r="AR16" s="32">
        <f t="shared" si="6"/>
        <v>0</v>
      </c>
      <c r="AS16" s="234">
        <f t="shared" si="7"/>
        <v>0</v>
      </c>
      <c r="AT16" s="32">
        <f t="shared" si="8"/>
        <v>0</v>
      </c>
      <c r="AU16" s="32">
        <f t="shared" si="9"/>
        <v>0</v>
      </c>
      <c r="AV16" s="32">
        <f t="shared" si="10"/>
        <v>0</v>
      </c>
      <c r="AW16" s="234">
        <f t="shared" si="11"/>
        <v>0</v>
      </c>
      <c r="AX16" s="226">
        <f t="shared" si="12"/>
        <v>0</v>
      </c>
      <c r="AY16" s="234">
        <f t="shared" si="13"/>
        <v>0</v>
      </c>
      <c r="AZ16" s="32">
        <f t="shared" si="14"/>
        <v>0</v>
      </c>
      <c r="BA16" s="234">
        <f t="shared" si="15"/>
        <v>0</v>
      </c>
      <c r="BB16" s="32">
        <f t="shared" si="16"/>
        <v>0</v>
      </c>
      <c r="BC16" s="234">
        <f t="shared" si="17"/>
        <v>0</v>
      </c>
      <c r="BD16" s="32">
        <f t="shared" si="18"/>
        <v>0</v>
      </c>
      <c r="BE16" s="234">
        <f t="shared" si="19"/>
        <v>0</v>
      </c>
      <c r="BF16" s="32">
        <f t="shared" si="20"/>
        <v>1.000000008</v>
      </c>
      <c r="BG16" s="234">
        <f t="shared" si="21"/>
        <v>1.000000008</v>
      </c>
      <c r="BH16" s="32">
        <f t="shared" si="22"/>
        <v>0</v>
      </c>
      <c r="BI16" s="32">
        <f t="shared" si="23"/>
        <v>0</v>
      </c>
      <c r="BJ16" s="234">
        <f t="shared" si="24"/>
        <v>0</v>
      </c>
      <c r="BK16" s="32">
        <f t="shared" si="25"/>
        <v>0</v>
      </c>
      <c r="BL16" s="234">
        <f t="shared" si="26"/>
        <v>0</v>
      </c>
    </row>
    <row r="17" spans="1:64" ht="15" customHeight="1" x14ac:dyDescent="0.25">
      <c r="A17" s="221" t="s">
        <v>677</v>
      </c>
      <c r="B17" s="26" t="str">
        <f>VLOOKUP(A17,kurspris!$A$1:$B$304,2,FALSE)</f>
        <v>Bild 1 distans</v>
      </c>
      <c r="C17" s="56"/>
      <c r="D17" s="56" t="s">
        <v>90</v>
      </c>
      <c r="E17" s="59"/>
      <c r="F17" s="56" t="s">
        <v>892</v>
      </c>
      <c r="G17" s="59"/>
      <c r="H17" s="59"/>
      <c r="K17" s="37"/>
      <c r="L17" s="32">
        <v>50</v>
      </c>
      <c r="M17" s="32">
        <v>15</v>
      </c>
      <c r="N17" s="56">
        <v>1</v>
      </c>
      <c r="O17" s="234">
        <v>0.250000002</v>
      </c>
      <c r="P17" s="39">
        <v>1</v>
      </c>
      <c r="Q17" s="234">
        <f t="shared" si="0"/>
        <v>0.250000002</v>
      </c>
      <c r="R17" s="32">
        <f>VLOOKUP(A17,'Ansvar kurs'!$A$1:$C$399,2,FALSE)</f>
        <v>1650</v>
      </c>
      <c r="S17" s="32" t="str">
        <f>VLOOKUP(R17,Orgenheter!$A$1:$C$166,2,FALSE)</f>
        <v xml:space="preserve">Estetiska ämnen               </v>
      </c>
      <c r="T17" s="32" t="str">
        <f>VLOOKUP(R17,Orgenheter!$A$1:$C$166,3,FALSE)</f>
        <v>Hum</v>
      </c>
      <c r="U17" s="37" t="str">
        <f>VLOOKUP(D17,Program!$A$1:$B$34,2,FALSE)</f>
        <v>Fristående och övriga kurser</v>
      </c>
      <c r="V17" s="41">
        <f>VLOOKUP(A17,kurspris!$A$1:$Q$225,15,FALSE)</f>
        <v>48895</v>
      </c>
      <c r="W17" s="41">
        <f>VLOOKUP(A17,kurspris!$A$1:$Q$225,16,FALSE)</f>
        <v>58097</v>
      </c>
      <c r="X17" s="41">
        <f t="shared" si="1"/>
        <v>26748.000213984</v>
      </c>
      <c r="Y17" s="41">
        <f>VLOOKUP(A17,kurspris!$A$1:$Q$225,17,FALSE)</f>
        <v>70300</v>
      </c>
      <c r="Z17" s="41">
        <f t="shared" si="2"/>
        <v>17575.000140600001</v>
      </c>
      <c r="AA17" s="41">
        <f t="shared" si="3"/>
        <v>44323.000354584001</v>
      </c>
      <c r="AB17" s="32">
        <f>VLOOKUP($A17,kurspris!$A$1:$Q$262,3,FALSE)</f>
        <v>1</v>
      </c>
      <c r="AC17" s="32">
        <f>VLOOKUP($A17,kurspris!$A$1:$Q$262,4,FALSE)</f>
        <v>0</v>
      </c>
      <c r="AD17" s="32">
        <f>VLOOKUP($A17,kurspris!$A$1:$Q$262,5,FALSE)</f>
        <v>0</v>
      </c>
      <c r="AE17" s="32">
        <f>VLOOKUP($A17,kurspris!$A$1:$Q$262,6,FALSE)</f>
        <v>0</v>
      </c>
      <c r="AF17" s="32">
        <f>VLOOKUP($A17,kurspris!$A$1:$Q$262,7,FALSE)</f>
        <v>0</v>
      </c>
      <c r="AG17" s="32">
        <f>VLOOKUP($A17,kurspris!$A$1:$Q$262,8,FALSE)</f>
        <v>0</v>
      </c>
      <c r="AH17" s="32">
        <f>VLOOKUP($A17,kurspris!$A$1:$Q$262,9,FALSE)</f>
        <v>0</v>
      </c>
      <c r="AI17" s="32">
        <f>VLOOKUP($A17,kurspris!$A$1:$Q$262,10,FALSE)</f>
        <v>0</v>
      </c>
      <c r="AJ17" s="32">
        <f>VLOOKUP($A17,kurspris!$A$1:$Q$262,11,FALSE)</f>
        <v>0</v>
      </c>
      <c r="AK17" s="32">
        <f>VLOOKUP($A17,kurspris!$A$1:$Q$262,12,FALSE)</f>
        <v>0</v>
      </c>
      <c r="AL17" s="32">
        <f>VLOOKUP($A17,kurspris!$A$1:$Q$262,13,FALSE)</f>
        <v>0</v>
      </c>
      <c r="AM17" s="32">
        <f>VLOOKUP($A17,kurspris!$A$1:$Q$262,14,FALSE)</f>
        <v>0</v>
      </c>
      <c r="AN17" s="38" t="s">
        <v>917</v>
      </c>
      <c r="AO17" s="38"/>
      <c r="AP17" s="32">
        <f t="shared" si="4"/>
        <v>0.250000002</v>
      </c>
      <c r="AQ17" s="234">
        <f t="shared" si="5"/>
        <v>0.250000002</v>
      </c>
      <c r="AR17" s="32">
        <f t="shared" si="6"/>
        <v>0</v>
      </c>
      <c r="AS17" s="234">
        <f t="shared" si="7"/>
        <v>0</v>
      </c>
      <c r="AT17" s="32">
        <f t="shared" si="8"/>
        <v>0</v>
      </c>
      <c r="AU17" s="32">
        <f t="shared" si="9"/>
        <v>0</v>
      </c>
      <c r="AV17" s="32">
        <f t="shared" si="10"/>
        <v>0</v>
      </c>
      <c r="AW17" s="234">
        <f t="shared" si="11"/>
        <v>0</v>
      </c>
      <c r="AX17" s="226">
        <f t="shared" si="12"/>
        <v>0</v>
      </c>
      <c r="AY17" s="234">
        <f t="shared" si="13"/>
        <v>0</v>
      </c>
      <c r="AZ17" s="32">
        <f t="shared" si="14"/>
        <v>0</v>
      </c>
      <c r="BA17" s="234">
        <f t="shared" si="15"/>
        <v>0</v>
      </c>
      <c r="BB17" s="32">
        <f t="shared" si="16"/>
        <v>0</v>
      </c>
      <c r="BC17" s="234">
        <f t="shared" si="17"/>
        <v>0</v>
      </c>
      <c r="BD17" s="32">
        <f t="shared" si="18"/>
        <v>0</v>
      </c>
      <c r="BE17" s="234">
        <f t="shared" si="19"/>
        <v>0</v>
      </c>
      <c r="BF17" s="32">
        <f t="shared" si="20"/>
        <v>0</v>
      </c>
      <c r="BG17" s="234">
        <f t="shared" si="21"/>
        <v>0</v>
      </c>
      <c r="BH17" s="32">
        <f t="shared" si="22"/>
        <v>0</v>
      </c>
      <c r="BI17" s="32">
        <f t="shared" si="23"/>
        <v>0</v>
      </c>
      <c r="BJ17" s="234">
        <f t="shared" si="24"/>
        <v>0</v>
      </c>
      <c r="BK17" s="32">
        <f t="shared" si="25"/>
        <v>0</v>
      </c>
      <c r="BL17" s="234">
        <f t="shared" si="26"/>
        <v>0</v>
      </c>
    </row>
    <row r="18" spans="1:64" ht="15" customHeight="1" x14ac:dyDescent="0.25">
      <c r="A18" s="221" t="s">
        <v>777</v>
      </c>
      <c r="B18" s="26" t="str">
        <f>VLOOKUP(A18,kurspris!$A$1:$B$304,2,FALSE)</f>
        <v>Bild 2b, distans</v>
      </c>
      <c r="C18" s="56"/>
      <c r="D18" s="32" t="s">
        <v>74</v>
      </c>
      <c r="E18" s="59"/>
      <c r="F18" s="56" t="s">
        <v>892</v>
      </c>
      <c r="G18" s="59"/>
      <c r="H18" s="59"/>
      <c r="K18" s="37"/>
      <c r="L18" s="32">
        <v>50</v>
      </c>
      <c r="M18" s="32">
        <v>15</v>
      </c>
      <c r="N18" s="32">
        <v>2</v>
      </c>
      <c r="O18" s="234">
        <v>0.500000004</v>
      </c>
      <c r="P18" s="39">
        <v>1</v>
      </c>
      <c r="Q18" s="234">
        <f t="shared" si="0"/>
        <v>0.500000004</v>
      </c>
      <c r="R18" s="32">
        <f>VLOOKUP(A18,'Ansvar kurs'!$A$1:$C$399,2,FALSE)</f>
        <v>1650</v>
      </c>
      <c r="S18" s="32" t="str">
        <f>VLOOKUP(R18,Orgenheter!$A$1:$C$166,2,FALSE)</f>
        <v xml:space="preserve">Estetiska ämnen               </v>
      </c>
      <c r="T18" s="32" t="str">
        <f>VLOOKUP(R18,Orgenheter!$A$1:$C$166,3,FALSE)</f>
        <v>Hum</v>
      </c>
      <c r="U18" s="37" t="str">
        <f>VLOOKUP(D18,Program!$A$1:$B$34,2,FALSE)</f>
        <v>VAL-projektet</v>
      </c>
      <c r="V18" s="41">
        <f>VLOOKUP(A18,kurspris!$A$1:$Q$225,15,FALSE)</f>
        <v>48895</v>
      </c>
      <c r="W18" s="41">
        <f>VLOOKUP(A18,kurspris!$A$1:$Q$225,16,FALSE)</f>
        <v>58097</v>
      </c>
      <c r="X18" s="41">
        <f t="shared" si="1"/>
        <v>53496.000427968</v>
      </c>
      <c r="Y18" s="41">
        <f>VLOOKUP(A18,kurspris!$A$1:$Q$225,17,FALSE)</f>
        <v>70300</v>
      </c>
      <c r="Z18" s="41">
        <f t="shared" si="2"/>
        <v>35150.000281200002</v>
      </c>
      <c r="AA18" s="41">
        <f t="shared" si="3"/>
        <v>88646.000709168002</v>
      </c>
      <c r="AB18" s="32">
        <f>VLOOKUP($A18,kurspris!$A$1:$Q$262,3,FALSE)</f>
        <v>1</v>
      </c>
      <c r="AC18" s="32">
        <f>VLOOKUP($A18,kurspris!$A$1:$Q$262,4,FALSE)</f>
        <v>0</v>
      </c>
      <c r="AD18" s="32">
        <f>VLOOKUP($A18,kurspris!$A$1:$Q$262,5,FALSE)</f>
        <v>0</v>
      </c>
      <c r="AE18" s="32">
        <f>VLOOKUP($A18,kurspris!$A$1:$Q$262,6,FALSE)</f>
        <v>0</v>
      </c>
      <c r="AF18" s="32">
        <f>VLOOKUP($A18,kurspris!$A$1:$Q$262,7,FALSE)</f>
        <v>0</v>
      </c>
      <c r="AG18" s="32">
        <f>VLOOKUP($A18,kurspris!$A$1:$Q$262,8,FALSE)</f>
        <v>0</v>
      </c>
      <c r="AH18" s="32">
        <f>VLOOKUP($A18,kurspris!$A$1:$Q$262,9,FALSE)</f>
        <v>0</v>
      </c>
      <c r="AI18" s="32">
        <f>VLOOKUP($A18,kurspris!$A$1:$Q$262,10,FALSE)</f>
        <v>0</v>
      </c>
      <c r="AJ18" s="32">
        <f>VLOOKUP($A18,kurspris!$A$1:$Q$262,11,FALSE)</f>
        <v>0</v>
      </c>
      <c r="AK18" s="32">
        <f>VLOOKUP($A18,kurspris!$A$1:$Q$262,12,FALSE)</f>
        <v>0</v>
      </c>
      <c r="AL18" s="32">
        <f>VLOOKUP($A18,kurspris!$A$1:$Q$262,13,FALSE)</f>
        <v>0</v>
      </c>
      <c r="AM18" s="32">
        <f>VLOOKUP($A18,kurspris!$A$1:$Q$262,14,FALSE)</f>
        <v>0</v>
      </c>
      <c r="AN18" s="38" t="s">
        <v>917</v>
      </c>
      <c r="AP18" s="32">
        <f t="shared" si="4"/>
        <v>0.500000004</v>
      </c>
      <c r="AQ18" s="234">
        <f t="shared" si="5"/>
        <v>0.500000004</v>
      </c>
      <c r="AR18" s="32">
        <f t="shared" si="6"/>
        <v>0</v>
      </c>
      <c r="AS18" s="234">
        <f t="shared" si="7"/>
        <v>0</v>
      </c>
      <c r="AT18" s="32">
        <f t="shared" si="8"/>
        <v>0</v>
      </c>
      <c r="AU18" s="32">
        <f t="shared" si="9"/>
        <v>0</v>
      </c>
      <c r="AV18" s="32">
        <f t="shared" si="10"/>
        <v>0</v>
      </c>
      <c r="AW18" s="234">
        <f t="shared" si="11"/>
        <v>0</v>
      </c>
      <c r="AX18" s="226">
        <f t="shared" si="12"/>
        <v>0</v>
      </c>
      <c r="AY18" s="234">
        <f t="shared" si="13"/>
        <v>0</v>
      </c>
      <c r="AZ18" s="32">
        <f t="shared" si="14"/>
        <v>0</v>
      </c>
      <c r="BA18" s="234">
        <f t="shared" si="15"/>
        <v>0</v>
      </c>
      <c r="BB18" s="32">
        <f t="shared" si="16"/>
        <v>0</v>
      </c>
      <c r="BC18" s="234">
        <f t="shared" si="17"/>
        <v>0</v>
      </c>
      <c r="BD18" s="32">
        <f t="shared" si="18"/>
        <v>0</v>
      </c>
      <c r="BE18" s="234">
        <f t="shared" si="19"/>
        <v>0</v>
      </c>
      <c r="BF18" s="32">
        <f t="shared" si="20"/>
        <v>0</v>
      </c>
      <c r="BG18" s="234">
        <f t="shared" si="21"/>
        <v>0</v>
      </c>
      <c r="BH18" s="32">
        <f t="shared" si="22"/>
        <v>0</v>
      </c>
      <c r="BI18" s="32">
        <f t="shared" si="23"/>
        <v>0</v>
      </c>
      <c r="BJ18" s="234">
        <f t="shared" si="24"/>
        <v>0</v>
      </c>
      <c r="BK18" s="32">
        <f t="shared" si="25"/>
        <v>0</v>
      </c>
      <c r="BL18" s="234">
        <f t="shared" si="26"/>
        <v>0</v>
      </c>
    </row>
    <row r="19" spans="1:64" ht="15" customHeight="1" x14ac:dyDescent="0.25">
      <c r="A19" s="221" t="s">
        <v>833</v>
      </c>
      <c r="B19" s="26" t="str">
        <f>VLOOKUP(A19,kurspris!$A$1:$B$304,2,FALSE)</f>
        <v>Skapande bild, distans</v>
      </c>
      <c r="C19" s="56"/>
      <c r="D19" s="32" t="s">
        <v>74</v>
      </c>
      <c r="E19" s="59"/>
      <c r="F19" s="56" t="s">
        <v>892</v>
      </c>
      <c r="G19" s="59"/>
      <c r="H19" s="59"/>
      <c r="K19" s="37"/>
      <c r="L19" s="32">
        <v>50</v>
      </c>
      <c r="M19" s="32">
        <v>15</v>
      </c>
      <c r="N19" s="32">
        <v>2</v>
      </c>
      <c r="O19" s="234">
        <v>0.125000008</v>
      </c>
      <c r="P19" s="39">
        <v>1</v>
      </c>
      <c r="Q19" s="234">
        <f t="shared" si="0"/>
        <v>0.125000008</v>
      </c>
      <c r="R19" s="32">
        <f>VLOOKUP(A19,'Ansvar kurs'!$A$1:$C$399,2,FALSE)</f>
        <v>1650</v>
      </c>
      <c r="S19" s="32" t="str">
        <f>VLOOKUP(R19,Orgenheter!$A$1:$C$166,2,FALSE)</f>
        <v xml:space="preserve">Estetiska ämnen               </v>
      </c>
      <c r="T19" s="32" t="str">
        <f>VLOOKUP(R19,Orgenheter!$A$1:$C$166,3,FALSE)</f>
        <v>Hum</v>
      </c>
      <c r="U19" s="37" t="str">
        <f>VLOOKUP(D19,Program!$A$1:$B$34,2,FALSE)</f>
        <v>VAL-projektet</v>
      </c>
      <c r="V19" s="41">
        <f>VLOOKUP(A19,kurspris!$A$1:$Q$225,15,FALSE)</f>
        <v>41445.5</v>
      </c>
      <c r="W19" s="41">
        <f>VLOOKUP(A19,kurspris!$A$1:$Q$225,16,FALSE)</f>
        <v>47591.5</v>
      </c>
      <c r="X19" s="41">
        <f t="shared" si="1"/>
        <v>11129.625712296</v>
      </c>
      <c r="Y19" s="41">
        <f>VLOOKUP(A19,kurspris!$A$1:$Q$225,17,FALSE)</f>
        <v>54200</v>
      </c>
      <c r="Z19" s="41">
        <f t="shared" si="2"/>
        <v>6775.0004336000002</v>
      </c>
      <c r="AA19" s="41">
        <f t="shared" si="3"/>
        <v>17904.626145896</v>
      </c>
      <c r="AB19" s="32">
        <f>VLOOKUP($A19,kurspris!$A$1:$Q$262,3,FALSE)</f>
        <v>0.75</v>
      </c>
      <c r="AC19" s="32">
        <f>VLOOKUP($A19,kurspris!$A$1:$Q$262,4,FALSE)</f>
        <v>0.25</v>
      </c>
      <c r="AD19" s="32">
        <f>VLOOKUP($A19,kurspris!$A$1:$Q$262,5,FALSE)</f>
        <v>0</v>
      </c>
      <c r="AE19" s="32">
        <f>VLOOKUP($A19,kurspris!$A$1:$Q$262,6,FALSE)</f>
        <v>0</v>
      </c>
      <c r="AF19" s="32">
        <f>VLOOKUP($A19,kurspris!$A$1:$Q$262,7,FALSE)</f>
        <v>0</v>
      </c>
      <c r="AG19" s="32">
        <f>VLOOKUP($A19,kurspris!$A$1:$Q$262,8,FALSE)</f>
        <v>0</v>
      </c>
      <c r="AH19" s="32">
        <f>VLOOKUP($A19,kurspris!$A$1:$Q$262,9,FALSE)</f>
        <v>0</v>
      </c>
      <c r="AI19" s="32">
        <f>VLOOKUP($A19,kurspris!$A$1:$Q$262,10,FALSE)</f>
        <v>0</v>
      </c>
      <c r="AJ19" s="32">
        <f>VLOOKUP($A19,kurspris!$A$1:$Q$262,11,FALSE)</f>
        <v>0</v>
      </c>
      <c r="AK19" s="32">
        <f>VLOOKUP($A19,kurspris!$A$1:$Q$262,12,FALSE)</f>
        <v>0</v>
      </c>
      <c r="AL19" s="32">
        <f>VLOOKUP($A19,kurspris!$A$1:$Q$262,13,FALSE)</f>
        <v>0</v>
      </c>
      <c r="AM19" s="32">
        <f>VLOOKUP($A19,kurspris!$A$1:$Q$262,14,FALSE)</f>
        <v>0</v>
      </c>
      <c r="AN19" s="38" t="s">
        <v>917</v>
      </c>
      <c r="AO19"/>
      <c r="AP19" s="32">
        <f t="shared" si="4"/>
        <v>9.3750005999999997E-2</v>
      </c>
      <c r="AQ19" s="234">
        <f t="shared" si="5"/>
        <v>9.3750005999999997E-2</v>
      </c>
      <c r="AR19" s="32">
        <f t="shared" si="6"/>
        <v>3.1250001999999999E-2</v>
      </c>
      <c r="AS19" s="234">
        <f t="shared" si="7"/>
        <v>3.1250001999999999E-2</v>
      </c>
      <c r="AT19" s="32">
        <f t="shared" si="8"/>
        <v>0</v>
      </c>
      <c r="AU19" s="32">
        <f t="shared" si="9"/>
        <v>0</v>
      </c>
      <c r="AV19" s="32">
        <f t="shared" si="10"/>
        <v>0</v>
      </c>
      <c r="AW19" s="234">
        <f t="shared" si="11"/>
        <v>0</v>
      </c>
      <c r="AX19" s="226">
        <f t="shared" si="12"/>
        <v>0</v>
      </c>
      <c r="AY19" s="234">
        <f t="shared" si="13"/>
        <v>0</v>
      </c>
      <c r="AZ19" s="32">
        <f t="shared" si="14"/>
        <v>0</v>
      </c>
      <c r="BA19" s="234">
        <f t="shared" si="15"/>
        <v>0</v>
      </c>
      <c r="BB19" s="32">
        <f t="shared" si="16"/>
        <v>0</v>
      </c>
      <c r="BC19" s="234">
        <f t="shared" si="17"/>
        <v>0</v>
      </c>
      <c r="BD19" s="32">
        <f t="shared" si="18"/>
        <v>0</v>
      </c>
      <c r="BE19" s="234">
        <f t="shared" si="19"/>
        <v>0</v>
      </c>
      <c r="BF19" s="32">
        <f t="shared" si="20"/>
        <v>0</v>
      </c>
      <c r="BG19" s="234">
        <f t="shared" si="21"/>
        <v>0</v>
      </c>
      <c r="BH19" s="32">
        <f t="shared" si="22"/>
        <v>0</v>
      </c>
      <c r="BI19" s="32">
        <f t="shared" si="23"/>
        <v>0</v>
      </c>
      <c r="BJ19" s="234">
        <f t="shared" si="24"/>
        <v>0</v>
      </c>
      <c r="BK19" s="32">
        <f t="shared" si="25"/>
        <v>0</v>
      </c>
      <c r="BL19" s="234">
        <f t="shared" si="26"/>
        <v>0</v>
      </c>
    </row>
    <row r="20" spans="1:64" ht="15" customHeight="1" x14ac:dyDescent="0.25">
      <c r="A20" s="221" t="s">
        <v>833</v>
      </c>
      <c r="B20" s="26" t="str">
        <f>VLOOKUP(A20,kurspris!$A$1:$B$304,2,FALSE)</f>
        <v>Skapande bild, distans</v>
      </c>
      <c r="C20" s="56"/>
      <c r="D20" s="32" t="s">
        <v>74</v>
      </c>
      <c r="E20" s="59"/>
      <c r="F20" s="56" t="s">
        <v>892</v>
      </c>
      <c r="G20" s="59"/>
      <c r="H20" s="59"/>
      <c r="K20" s="37"/>
      <c r="L20" s="32">
        <v>50</v>
      </c>
      <c r="M20" s="32">
        <v>15</v>
      </c>
      <c r="N20" s="32">
        <v>2</v>
      </c>
      <c r="O20" s="234">
        <v>0.374999996</v>
      </c>
      <c r="P20" s="39">
        <v>1</v>
      </c>
      <c r="Q20" s="234">
        <f t="shared" si="0"/>
        <v>0.374999996</v>
      </c>
      <c r="R20" s="32">
        <f>VLOOKUP(A20,'Ansvar kurs'!$A$1:$C$399,2,FALSE)</f>
        <v>1650</v>
      </c>
      <c r="S20" s="32" t="str">
        <f>VLOOKUP(R20,Orgenheter!$A$1:$C$166,2,FALSE)</f>
        <v xml:space="preserve">Estetiska ämnen               </v>
      </c>
      <c r="T20" s="32" t="str">
        <f>VLOOKUP(R20,Orgenheter!$A$1:$C$166,3,FALSE)</f>
        <v>Hum</v>
      </c>
      <c r="U20" s="37" t="str">
        <f>VLOOKUP(D20,Program!$A$1:$B$34,2,FALSE)</f>
        <v>VAL-projektet</v>
      </c>
      <c r="V20" s="41">
        <f>VLOOKUP(A20,kurspris!$A$1:$Q$225,15,FALSE)</f>
        <v>41445.5</v>
      </c>
      <c r="W20" s="41">
        <f>VLOOKUP(A20,kurspris!$A$1:$Q$225,16,FALSE)</f>
        <v>47591.5</v>
      </c>
      <c r="X20" s="41">
        <f t="shared" si="1"/>
        <v>33388.874643852003</v>
      </c>
      <c r="Y20" s="41">
        <f>VLOOKUP(A20,kurspris!$A$1:$Q$225,17,FALSE)</f>
        <v>54200</v>
      </c>
      <c r="Z20" s="41">
        <f t="shared" si="2"/>
        <v>20324.999783200001</v>
      </c>
      <c r="AA20" s="41">
        <f t="shared" si="3"/>
        <v>53713.874427052004</v>
      </c>
      <c r="AB20" s="32">
        <f>VLOOKUP($A20,kurspris!$A$1:$Q$262,3,FALSE)</f>
        <v>0.75</v>
      </c>
      <c r="AC20" s="32">
        <f>VLOOKUP($A20,kurspris!$A$1:$Q$262,4,FALSE)</f>
        <v>0.25</v>
      </c>
      <c r="AD20" s="32">
        <f>VLOOKUP($A20,kurspris!$A$1:$Q$262,5,FALSE)</f>
        <v>0</v>
      </c>
      <c r="AE20" s="32">
        <f>VLOOKUP($A20,kurspris!$A$1:$Q$262,6,FALSE)</f>
        <v>0</v>
      </c>
      <c r="AF20" s="32">
        <f>VLOOKUP($A20,kurspris!$A$1:$Q$262,7,FALSE)</f>
        <v>0</v>
      </c>
      <c r="AG20" s="32">
        <f>VLOOKUP($A20,kurspris!$A$1:$Q$262,8,FALSE)</f>
        <v>0</v>
      </c>
      <c r="AH20" s="32">
        <f>VLOOKUP($A20,kurspris!$A$1:$Q$262,9,FALSE)</f>
        <v>0</v>
      </c>
      <c r="AI20" s="32">
        <f>VLOOKUP($A20,kurspris!$A$1:$Q$262,10,FALSE)</f>
        <v>0</v>
      </c>
      <c r="AJ20" s="32">
        <f>VLOOKUP($A20,kurspris!$A$1:$Q$262,11,FALSE)</f>
        <v>0</v>
      </c>
      <c r="AK20" s="32">
        <f>VLOOKUP($A20,kurspris!$A$1:$Q$262,12,FALSE)</f>
        <v>0</v>
      </c>
      <c r="AL20" s="32">
        <f>VLOOKUP($A20,kurspris!$A$1:$Q$262,13,FALSE)</f>
        <v>0</v>
      </c>
      <c r="AM20" s="32">
        <f>VLOOKUP($A20,kurspris!$A$1:$Q$262,14,FALSE)</f>
        <v>0</v>
      </c>
      <c r="AN20" s="38" t="s">
        <v>917</v>
      </c>
      <c r="AO20"/>
      <c r="AP20" s="32">
        <f t="shared" si="4"/>
        <v>0.28124999699999997</v>
      </c>
      <c r="AQ20" s="234">
        <f t="shared" si="5"/>
        <v>0.28124999699999997</v>
      </c>
      <c r="AR20" s="32">
        <f t="shared" si="6"/>
        <v>9.3749999000000001E-2</v>
      </c>
      <c r="AS20" s="234">
        <f t="shared" si="7"/>
        <v>9.3749999000000001E-2</v>
      </c>
      <c r="AT20" s="32">
        <f t="shared" si="8"/>
        <v>0</v>
      </c>
      <c r="AU20" s="32">
        <f t="shared" si="9"/>
        <v>0</v>
      </c>
      <c r="AV20" s="32">
        <f t="shared" si="10"/>
        <v>0</v>
      </c>
      <c r="AW20" s="234">
        <f t="shared" si="11"/>
        <v>0</v>
      </c>
      <c r="AX20" s="226">
        <f t="shared" si="12"/>
        <v>0</v>
      </c>
      <c r="AY20" s="234">
        <f t="shared" si="13"/>
        <v>0</v>
      </c>
      <c r="AZ20" s="32">
        <f t="shared" si="14"/>
        <v>0</v>
      </c>
      <c r="BA20" s="234">
        <f t="shared" si="15"/>
        <v>0</v>
      </c>
      <c r="BB20" s="32">
        <f t="shared" si="16"/>
        <v>0</v>
      </c>
      <c r="BC20" s="234">
        <f t="shared" si="17"/>
        <v>0</v>
      </c>
      <c r="BD20" s="32">
        <f t="shared" si="18"/>
        <v>0</v>
      </c>
      <c r="BE20" s="234">
        <f t="shared" si="19"/>
        <v>0</v>
      </c>
      <c r="BF20" s="32">
        <f t="shared" si="20"/>
        <v>0</v>
      </c>
      <c r="BG20" s="234">
        <f t="shared" si="21"/>
        <v>0</v>
      </c>
      <c r="BH20" s="32">
        <f t="shared" si="22"/>
        <v>0</v>
      </c>
      <c r="BI20" s="32">
        <f t="shared" si="23"/>
        <v>0</v>
      </c>
      <c r="BJ20" s="234">
        <f t="shared" si="24"/>
        <v>0</v>
      </c>
      <c r="BK20" s="32">
        <f t="shared" si="25"/>
        <v>0</v>
      </c>
      <c r="BL20" s="234">
        <f t="shared" si="26"/>
        <v>0</v>
      </c>
    </row>
    <row r="21" spans="1:64" ht="15" customHeight="1" x14ac:dyDescent="0.25">
      <c r="A21" s="221" t="s">
        <v>833</v>
      </c>
      <c r="B21" s="26" t="str">
        <f>VLOOKUP(A21,kurspris!$A$1:$B$304,2,FALSE)</f>
        <v>Skapande bild, distans</v>
      </c>
      <c r="C21" s="56"/>
      <c r="D21" s="56" t="s">
        <v>90</v>
      </c>
      <c r="E21" s="59"/>
      <c r="F21" s="56" t="s">
        <v>892</v>
      </c>
      <c r="G21" s="59"/>
      <c r="H21" s="59"/>
      <c r="K21" s="37"/>
      <c r="L21" s="32">
        <v>50</v>
      </c>
      <c r="M21" s="32">
        <v>15</v>
      </c>
      <c r="N21" s="32">
        <v>2</v>
      </c>
      <c r="O21" s="234">
        <v>0.125000008</v>
      </c>
      <c r="P21" s="39">
        <v>1</v>
      </c>
      <c r="Q21" s="234">
        <f t="shared" si="0"/>
        <v>0.125000008</v>
      </c>
      <c r="R21" s="32">
        <f>VLOOKUP(A21,'Ansvar kurs'!$A$1:$C$399,2,FALSE)</f>
        <v>1650</v>
      </c>
      <c r="S21" s="32" t="str">
        <f>VLOOKUP(R21,Orgenheter!$A$1:$C$166,2,FALSE)</f>
        <v xml:space="preserve">Estetiska ämnen               </v>
      </c>
      <c r="T21" s="32" t="str">
        <f>VLOOKUP(R21,Orgenheter!$A$1:$C$166,3,FALSE)</f>
        <v>Hum</v>
      </c>
      <c r="U21" s="37" t="str">
        <f>VLOOKUP(D21,Program!$A$1:$B$34,2,FALSE)</f>
        <v>Fristående och övriga kurser</v>
      </c>
      <c r="V21" s="41">
        <f>VLOOKUP(A21,kurspris!$A$1:$Q$225,15,FALSE)</f>
        <v>41445.5</v>
      </c>
      <c r="W21" s="41">
        <f>VLOOKUP(A21,kurspris!$A$1:$Q$225,16,FALSE)</f>
        <v>47591.5</v>
      </c>
      <c r="X21" s="41">
        <f t="shared" si="1"/>
        <v>11129.625712296</v>
      </c>
      <c r="Y21" s="41">
        <f>VLOOKUP(A21,kurspris!$A$1:$Q$225,17,FALSE)</f>
        <v>54200</v>
      </c>
      <c r="Z21" s="41">
        <f t="shared" si="2"/>
        <v>6775.0004336000002</v>
      </c>
      <c r="AA21" s="41">
        <f t="shared" si="3"/>
        <v>17904.626145896</v>
      </c>
      <c r="AB21" s="32">
        <f>VLOOKUP($A21,kurspris!$A$1:$Q$262,3,FALSE)</f>
        <v>0.75</v>
      </c>
      <c r="AC21" s="32">
        <f>VLOOKUP($A21,kurspris!$A$1:$Q$262,4,FALSE)</f>
        <v>0.25</v>
      </c>
      <c r="AD21" s="32">
        <f>VLOOKUP($A21,kurspris!$A$1:$Q$262,5,FALSE)</f>
        <v>0</v>
      </c>
      <c r="AE21" s="32">
        <f>VLOOKUP($A21,kurspris!$A$1:$Q$262,6,FALSE)</f>
        <v>0</v>
      </c>
      <c r="AF21" s="32">
        <f>VLOOKUP($A21,kurspris!$A$1:$Q$262,7,FALSE)</f>
        <v>0</v>
      </c>
      <c r="AG21" s="32">
        <f>VLOOKUP($A21,kurspris!$A$1:$Q$262,8,FALSE)</f>
        <v>0</v>
      </c>
      <c r="AH21" s="32">
        <f>VLOOKUP($A21,kurspris!$A$1:$Q$262,9,FALSE)</f>
        <v>0</v>
      </c>
      <c r="AI21" s="32">
        <f>VLOOKUP($A21,kurspris!$A$1:$Q$262,10,FALSE)</f>
        <v>0</v>
      </c>
      <c r="AJ21" s="32">
        <f>VLOOKUP($A21,kurspris!$A$1:$Q$262,11,FALSE)</f>
        <v>0</v>
      </c>
      <c r="AK21" s="32">
        <f>VLOOKUP($A21,kurspris!$A$1:$Q$262,12,FALSE)</f>
        <v>0</v>
      </c>
      <c r="AL21" s="32">
        <f>VLOOKUP($A21,kurspris!$A$1:$Q$262,13,FALSE)</f>
        <v>0</v>
      </c>
      <c r="AM21" s="32">
        <f>VLOOKUP($A21,kurspris!$A$1:$Q$262,14,FALSE)</f>
        <v>0</v>
      </c>
      <c r="AN21" s="38" t="s">
        <v>917</v>
      </c>
      <c r="AO21"/>
      <c r="AP21" s="32">
        <f t="shared" si="4"/>
        <v>9.3750005999999997E-2</v>
      </c>
      <c r="AQ21" s="234">
        <f t="shared" si="5"/>
        <v>9.3750005999999997E-2</v>
      </c>
      <c r="AR21" s="32">
        <f t="shared" si="6"/>
        <v>3.1250001999999999E-2</v>
      </c>
      <c r="AS21" s="234">
        <f t="shared" si="7"/>
        <v>3.1250001999999999E-2</v>
      </c>
      <c r="AT21" s="32">
        <f t="shared" si="8"/>
        <v>0</v>
      </c>
      <c r="AU21" s="32">
        <f t="shared" si="9"/>
        <v>0</v>
      </c>
      <c r="AV21" s="32">
        <f t="shared" si="10"/>
        <v>0</v>
      </c>
      <c r="AW21" s="234">
        <f t="shared" si="11"/>
        <v>0</v>
      </c>
      <c r="AX21" s="226">
        <f t="shared" si="12"/>
        <v>0</v>
      </c>
      <c r="AY21" s="234">
        <f t="shared" si="13"/>
        <v>0</v>
      </c>
      <c r="AZ21" s="32">
        <f t="shared" si="14"/>
        <v>0</v>
      </c>
      <c r="BA21" s="234">
        <f t="shared" si="15"/>
        <v>0</v>
      </c>
      <c r="BB21" s="32">
        <f t="shared" si="16"/>
        <v>0</v>
      </c>
      <c r="BC21" s="234">
        <f t="shared" si="17"/>
        <v>0</v>
      </c>
      <c r="BD21" s="32">
        <f t="shared" si="18"/>
        <v>0</v>
      </c>
      <c r="BE21" s="234">
        <f t="shared" si="19"/>
        <v>0</v>
      </c>
      <c r="BF21" s="32">
        <f t="shared" si="20"/>
        <v>0</v>
      </c>
      <c r="BG21" s="234">
        <f t="shared" si="21"/>
        <v>0</v>
      </c>
      <c r="BH21" s="32">
        <f t="shared" si="22"/>
        <v>0</v>
      </c>
      <c r="BI21" s="32">
        <f t="shared" si="23"/>
        <v>0</v>
      </c>
      <c r="BJ21" s="234">
        <f t="shared" si="24"/>
        <v>0</v>
      </c>
      <c r="BK21" s="32">
        <f t="shared" si="25"/>
        <v>0</v>
      </c>
      <c r="BL21" s="234">
        <f t="shared" si="26"/>
        <v>0</v>
      </c>
    </row>
    <row r="22" spans="1:64" ht="15" customHeight="1" x14ac:dyDescent="0.25">
      <c r="A22" s="221" t="s">
        <v>833</v>
      </c>
      <c r="B22" s="26" t="str">
        <f>VLOOKUP(A22,kurspris!$A$1:$B$304,2,FALSE)</f>
        <v>Skapande bild, distans</v>
      </c>
      <c r="C22" s="56"/>
      <c r="D22" s="56" t="s">
        <v>90</v>
      </c>
      <c r="E22" s="59"/>
      <c r="F22" s="56" t="s">
        <v>892</v>
      </c>
      <c r="G22" s="59"/>
      <c r="H22" s="59"/>
      <c r="K22" s="37"/>
      <c r="L22" s="32">
        <v>50</v>
      </c>
      <c r="M22" s="32">
        <v>15</v>
      </c>
      <c r="N22" s="32">
        <v>2</v>
      </c>
      <c r="O22" s="234">
        <v>0.374999996</v>
      </c>
      <c r="P22" s="39">
        <v>1</v>
      </c>
      <c r="Q22" s="234">
        <f t="shared" si="0"/>
        <v>0.374999996</v>
      </c>
      <c r="R22" s="32">
        <f>VLOOKUP(A22,'Ansvar kurs'!$A$1:$C$399,2,FALSE)</f>
        <v>1650</v>
      </c>
      <c r="S22" s="32" t="str">
        <f>VLOOKUP(R22,Orgenheter!$A$1:$C$166,2,FALSE)</f>
        <v xml:space="preserve">Estetiska ämnen               </v>
      </c>
      <c r="T22" s="32" t="str">
        <f>VLOOKUP(R22,Orgenheter!$A$1:$C$166,3,FALSE)</f>
        <v>Hum</v>
      </c>
      <c r="U22" s="37" t="str">
        <f>VLOOKUP(D22,Program!$A$1:$B$34,2,FALSE)</f>
        <v>Fristående och övriga kurser</v>
      </c>
      <c r="V22" s="41">
        <f>VLOOKUP(A22,kurspris!$A$1:$Q$225,15,FALSE)</f>
        <v>41445.5</v>
      </c>
      <c r="W22" s="41">
        <f>VLOOKUP(A22,kurspris!$A$1:$Q$225,16,FALSE)</f>
        <v>47591.5</v>
      </c>
      <c r="X22" s="41">
        <f t="shared" si="1"/>
        <v>33388.874643852003</v>
      </c>
      <c r="Y22" s="41">
        <f>VLOOKUP(A22,kurspris!$A$1:$Q$225,17,FALSE)</f>
        <v>54200</v>
      </c>
      <c r="Z22" s="41">
        <f t="shared" si="2"/>
        <v>20324.999783200001</v>
      </c>
      <c r="AA22" s="41">
        <f t="shared" si="3"/>
        <v>53713.874427052004</v>
      </c>
      <c r="AB22" s="32">
        <f>VLOOKUP($A22,kurspris!$A$1:$Q$262,3,FALSE)</f>
        <v>0.75</v>
      </c>
      <c r="AC22" s="32">
        <f>VLOOKUP($A22,kurspris!$A$1:$Q$262,4,FALSE)</f>
        <v>0.25</v>
      </c>
      <c r="AD22" s="32">
        <f>VLOOKUP($A22,kurspris!$A$1:$Q$262,5,FALSE)</f>
        <v>0</v>
      </c>
      <c r="AE22" s="32">
        <f>VLOOKUP($A22,kurspris!$A$1:$Q$262,6,FALSE)</f>
        <v>0</v>
      </c>
      <c r="AF22" s="32">
        <f>VLOOKUP($A22,kurspris!$A$1:$Q$262,7,FALSE)</f>
        <v>0</v>
      </c>
      <c r="AG22" s="32">
        <f>VLOOKUP($A22,kurspris!$A$1:$Q$262,8,FALSE)</f>
        <v>0</v>
      </c>
      <c r="AH22" s="32">
        <f>VLOOKUP($A22,kurspris!$A$1:$Q$262,9,FALSE)</f>
        <v>0</v>
      </c>
      <c r="AI22" s="32">
        <f>VLOOKUP($A22,kurspris!$A$1:$Q$262,10,FALSE)</f>
        <v>0</v>
      </c>
      <c r="AJ22" s="32">
        <f>VLOOKUP($A22,kurspris!$A$1:$Q$262,11,FALSE)</f>
        <v>0</v>
      </c>
      <c r="AK22" s="32">
        <f>VLOOKUP($A22,kurspris!$A$1:$Q$262,12,FALSE)</f>
        <v>0</v>
      </c>
      <c r="AL22" s="32">
        <f>VLOOKUP($A22,kurspris!$A$1:$Q$262,13,FALSE)</f>
        <v>0</v>
      </c>
      <c r="AM22" s="32">
        <f>VLOOKUP($A22,kurspris!$A$1:$Q$262,14,FALSE)</f>
        <v>0</v>
      </c>
      <c r="AN22" s="38" t="s">
        <v>917</v>
      </c>
      <c r="AO22"/>
      <c r="AP22" s="32">
        <f t="shared" si="4"/>
        <v>0.28124999699999997</v>
      </c>
      <c r="AQ22" s="234">
        <f t="shared" si="5"/>
        <v>0.28124999699999997</v>
      </c>
      <c r="AR22" s="32">
        <f t="shared" si="6"/>
        <v>9.3749999000000001E-2</v>
      </c>
      <c r="AS22" s="234">
        <f t="shared" si="7"/>
        <v>9.3749999000000001E-2</v>
      </c>
      <c r="AT22" s="32">
        <f t="shared" si="8"/>
        <v>0</v>
      </c>
      <c r="AU22" s="32">
        <f t="shared" si="9"/>
        <v>0</v>
      </c>
      <c r="AV22" s="32">
        <f t="shared" si="10"/>
        <v>0</v>
      </c>
      <c r="AW22" s="234">
        <f t="shared" si="11"/>
        <v>0</v>
      </c>
      <c r="AX22" s="226">
        <f t="shared" si="12"/>
        <v>0</v>
      </c>
      <c r="AY22" s="234">
        <f t="shared" si="13"/>
        <v>0</v>
      </c>
      <c r="AZ22" s="32">
        <f t="shared" si="14"/>
        <v>0</v>
      </c>
      <c r="BA22" s="234">
        <f t="shared" si="15"/>
        <v>0</v>
      </c>
      <c r="BB22" s="32">
        <f t="shared" si="16"/>
        <v>0</v>
      </c>
      <c r="BC22" s="234">
        <f t="shared" si="17"/>
        <v>0</v>
      </c>
      <c r="BD22" s="32">
        <f t="shared" si="18"/>
        <v>0</v>
      </c>
      <c r="BE22" s="234">
        <f t="shared" si="19"/>
        <v>0</v>
      </c>
      <c r="BF22" s="32">
        <f t="shared" si="20"/>
        <v>0</v>
      </c>
      <c r="BG22" s="234">
        <f t="shared" si="21"/>
        <v>0</v>
      </c>
      <c r="BH22" s="32">
        <f t="shared" si="22"/>
        <v>0</v>
      </c>
      <c r="BI22" s="32">
        <f t="shared" si="23"/>
        <v>0</v>
      </c>
      <c r="BJ22" s="234">
        <f t="shared" si="24"/>
        <v>0</v>
      </c>
      <c r="BK22" s="32">
        <f t="shared" si="25"/>
        <v>0</v>
      </c>
      <c r="BL22" s="234">
        <f t="shared" si="26"/>
        <v>0</v>
      </c>
    </row>
    <row r="23" spans="1:64" ht="15" customHeight="1" x14ac:dyDescent="0.25">
      <c r="A23" s="221" t="s">
        <v>712</v>
      </c>
      <c r="B23" s="26" t="str">
        <f>VLOOKUP(A23,kurspris!$A$1:$B$304,2,FALSE)</f>
        <v>Idrott och hälsa 3</v>
      </c>
      <c r="C23" s="56"/>
      <c r="D23" s="59" t="s">
        <v>74</v>
      </c>
      <c r="E23" s="59"/>
      <c r="F23" s="56" t="s">
        <v>892</v>
      </c>
      <c r="G23" s="59"/>
      <c r="H23" s="59"/>
      <c r="J23" s="59"/>
      <c r="K23" s="37"/>
      <c r="L23" s="32">
        <v>100</v>
      </c>
      <c r="M23" s="32">
        <v>30</v>
      </c>
      <c r="N23" s="32">
        <v>1</v>
      </c>
      <c r="O23" s="234">
        <v>0.500000004</v>
      </c>
      <c r="P23" s="39">
        <v>1</v>
      </c>
      <c r="Q23" s="234">
        <f t="shared" si="0"/>
        <v>0.500000004</v>
      </c>
      <c r="R23" s="32">
        <f>VLOOKUP(A23,'Ansvar kurs'!$A$1:$C$399,2,FALSE)</f>
        <v>2180</v>
      </c>
      <c r="S23" s="32" t="str">
        <f>VLOOKUP(R23,Orgenheter!$A$1:$C$166,2,FALSE)</f>
        <v xml:space="preserve">Pedagogik                     </v>
      </c>
      <c r="T23" s="32" t="str">
        <f>VLOOKUP(R23,Orgenheter!$A$1:$C$166,3,FALSE)</f>
        <v>Sam</v>
      </c>
      <c r="U23" s="37" t="str">
        <f>VLOOKUP(D23,Program!$A$1:$B$34,2,FALSE)</f>
        <v>VAL-projektet</v>
      </c>
      <c r="V23" s="41">
        <f>VLOOKUP(A23,kurspris!$A$1:$Q$225,15,FALSE)</f>
        <v>45856</v>
      </c>
      <c r="W23" s="41">
        <f>VLOOKUP(A23,kurspris!$A$1:$Q$225,16,FALSE)</f>
        <v>34830</v>
      </c>
      <c r="X23" s="41">
        <f t="shared" si="1"/>
        <v>40343.000322744003</v>
      </c>
      <c r="Y23" s="41">
        <f>VLOOKUP(A23,kurspris!$A$1:$Q$225,17,FALSE)</f>
        <v>35200</v>
      </c>
      <c r="Z23" s="41">
        <f t="shared" si="2"/>
        <v>17600.000140799999</v>
      </c>
      <c r="AA23" s="41">
        <f t="shared" si="3"/>
        <v>57943.000463543998</v>
      </c>
      <c r="AB23" s="32">
        <f>VLOOKUP($A23,kurspris!$A$1:$Q$262,3,FALSE)</f>
        <v>0</v>
      </c>
      <c r="AC23" s="32">
        <f>VLOOKUP($A23,kurspris!$A$1:$Q$262,4,FALSE)</f>
        <v>0</v>
      </c>
      <c r="AD23" s="32">
        <f>VLOOKUP($A23,kurspris!$A$1:$Q$262,5,FALSE)</f>
        <v>1</v>
      </c>
      <c r="AE23" s="32">
        <f>VLOOKUP($A23,kurspris!$A$1:$Q$262,6,FALSE)</f>
        <v>0</v>
      </c>
      <c r="AF23" s="32">
        <f>VLOOKUP($A23,kurspris!$A$1:$Q$262,7,FALSE)</f>
        <v>0</v>
      </c>
      <c r="AG23" s="32">
        <f>VLOOKUP($A23,kurspris!$A$1:$Q$262,8,FALSE)</f>
        <v>0</v>
      </c>
      <c r="AH23" s="32">
        <f>VLOOKUP($A23,kurspris!$A$1:$Q$262,9,FALSE)</f>
        <v>0</v>
      </c>
      <c r="AI23" s="32">
        <f>VLOOKUP($A23,kurspris!$A$1:$Q$262,10,FALSE)</f>
        <v>0</v>
      </c>
      <c r="AJ23" s="32">
        <f>VLOOKUP($A23,kurspris!$A$1:$Q$262,11,FALSE)</f>
        <v>0</v>
      </c>
      <c r="AK23" s="32">
        <f>VLOOKUP($A23,kurspris!$A$1:$Q$262,12,FALSE)</f>
        <v>0</v>
      </c>
      <c r="AL23" s="32">
        <f>VLOOKUP($A23,kurspris!$A$1:$Q$262,13,FALSE)</f>
        <v>0</v>
      </c>
      <c r="AM23" s="32">
        <f>VLOOKUP($A23,kurspris!$A$1:$Q$262,14,FALSE)</f>
        <v>0</v>
      </c>
      <c r="AN23" s="38" t="s">
        <v>917</v>
      </c>
      <c r="AO23"/>
      <c r="AP23" s="32">
        <f t="shared" si="4"/>
        <v>0</v>
      </c>
      <c r="AQ23" s="234">
        <f t="shared" si="5"/>
        <v>0</v>
      </c>
      <c r="AR23" s="32">
        <f t="shared" si="6"/>
        <v>0</v>
      </c>
      <c r="AS23" s="234">
        <f t="shared" si="7"/>
        <v>0</v>
      </c>
      <c r="AT23" s="32">
        <f t="shared" si="8"/>
        <v>0.500000004</v>
      </c>
      <c r="AU23" s="32">
        <f t="shared" si="9"/>
        <v>0.500000004</v>
      </c>
      <c r="AV23" s="32">
        <f t="shared" si="10"/>
        <v>0</v>
      </c>
      <c r="AW23" s="234">
        <f t="shared" si="11"/>
        <v>0</v>
      </c>
      <c r="AX23" s="226">
        <f t="shared" si="12"/>
        <v>0</v>
      </c>
      <c r="AY23" s="234">
        <f t="shared" si="13"/>
        <v>0</v>
      </c>
      <c r="AZ23" s="32">
        <f t="shared" si="14"/>
        <v>0</v>
      </c>
      <c r="BA23" s="234">
        <f t="shared" si="15"/>
        <v>0</v>
      </c>
      <c r="BB23" s="32">
        <f t="shared" si="16"/>
        <v>0</v>
      </c>
      <c r="BC23" s="234">
        <f t="shared" si="17"/>
        <v>0</v>
      </c>
      <c r="BD23" s="32">
        <f t="shared" si="18"/>
        <v>0</v>
      </c>
      <c r="BE23" s="234">
        <f t="shared" si="19"/>
        <v>0</v>
      </c>
      <c r="BF23" s="32">
        <f t="shared" si="20"/>
        <v>0</v>
      </c>
      <c r="BG23" s="234">
        <f t="shared" si="21"/>
        <v>0</v>
      </c>
      <c r="BH23" s="32">
        <f t="shared" si="22"/>
        <v>0</v>
      </c>
      <c r="BI23" s="32">
        <f t="shared" si="23"/>
        <v>0</v>
      </c>
      <c r="BJ23" s="234">
        <f t="shared" si="24"/>
        <v>0</v>
      </c>
      <c r="BK23" s="32">
        <f t="shared" si="25"/>
        <v>0</v>
      </c>
      <c r="BL23" s="234">
        <f t="shared" si="26"/>
        <v>0</v>
      </c>
    </row>
    <row r="24" spans="1:64" ht="15" customHeight="1" x14ac:dyDescent="0.25">
      <c r="A24" s="221" t="s">
        <v>865</v>
      </c>
      <c r="B24" s="26" t="str">
        <f>VLOOKUP(A24,kurspris!$A$1:$B$304,2,FALSE)</f>
        <v>Kemididaktik för ämneslärare för åk 7-9</v>
      </c>
      <c r="C24" s="56"/>
      <c r="D24" s="32" t="s">
        <v>74</v>
      </c>
      <c r="E24" s="59"/>
      <c r="F24" s="56" t="s">
        <v>892</v>
      </c>
      <c r="G24" s="59"/>
      <c r="H24" s="59"/>
      <c r="K24" s="37"/>
      <c r="L24" s="32">
        <v>50</v>
      </c>
      <c r="M24" s="32">
        <v>7.5</v>
      </c>
      <c r="N24" s="32">
        <v>1</v>
      </c>
      <c r="O24" s="234">
        <v>0.1249999985</v>
      </c>
      <c r="P24" s="39">
        <v>1</v>
      </c>
      <c r="Q24" s="234">
        <f t="shared" si="0"/>
        <v>0.1249999985</v>
      </c>
      <c r="R24" s="32">
        <f>VLOOKUP(A24,'Ansvar kurs'!$A$1:$C$399,2,FALSE)</f>
        <v>5740</v>
      </c>
      <c r="S24" s="32" t="str">
        <f>VLOOKUP(R24,Orgenheter!$A$1:$C$166,2,FALSE)</f>
        <v>NMD</v>
      </c>
      <c r="T24" s="32" t="str">
        <f>VLOOKUP(R24,Orgenheter!$A$1:$C$166,3,FALSE)</f>
        <v>TekNat</v>
      </c>
      <c r="U24" s="37" t="str">
        <f>VLOOKUP(D24,Program!$A$1:$B$34,2,FALSE)</f>
        <v>VAL-projektet</v>
      </c>
      <c r="V24" s="41">
        <f>VLOOKUP(A24,kurspris!$A$1:$Q$225,15,FALSE)</f>
        <v>19863</v>
      </c>
      <c r="W24" s="41">
        <f>VLOOKUP(A24,kurspris!$A$1:$Q$225,16,FALSE)</f>
        <v>35472</v>
      </c>
      <c r="X24" s="41">
        <f t="shared" si="1"/>
        <v>6916.8749169974999</v>
      </c>
      <c r="Y24" s="41">
        <f>VLOOKUP(A24,kurspris!$A$1:$Q$225,17,FALSE)</f>
        <v>22200</v>
      </c>
      <c r="Z24" s="41">
        <f t="shared" si="2"/>
        <v>2774.9999667000002</v>
      </c>
      <c r="AA24" s="41">
        <f t="shared" si="3"/>
        <v>9691.8748836974992</v>
      </c>
      <c r="AB24" s="32">
        <f>VLOOKUP($A24,kurspris!$A$1:$Q$262,3,FALSE)</f>
        <v>0</v>
      </c>
      <c r="AC24" s="32">
        <f>VLOOKUP($A24,kurspris!$A$1:$Q$262,4,FALSE)</f>
        <v>0</v>
      </c>
      <c r="AD24" s="32">
        <f>VLOOKUP($A24,kurspris!$A$1:$Q$262,5,FALSE)</f>
        <v>0</v>
      </c>
      <c r="AE24" s="32">
        <f>VLOOKUP($A24,kurspris!$A$1:$Q$262,6,FALSE)</f>
        <v>0</v>
      </c>
      <c r="AF24" s="32">
        <f>VLOOKUP($A24,kurspris!$A$1:$Q$262,7,FALSE)</f>
        <v>0</v>
      </c>
      <c r="AG24" s="32">
        <f>VLOOKUP($A24,kurspris!$A$1:$Q$262,8,FALSE)</f>
        <v>1</v>
      </c>
      <c r="AH24" s="32">
        <f>VLOOKUP($A24,kurspris!$A$1:$Q$262,9,FALSE)</f>
        <v>0</v>
      </c>
      <c r="AI24" s="32">
        <f>VLOOKUP($A24,kurspris!$A$1:$Q$262,10,FALSE)</f>
        <v>0</v>
      </c>
      <c r="AJ24" s="32">
        <f>VLOOKUP($A24,kurspris!$A$1:$Q$262,11,FALSE)</f>
        <v>0</v>
      </c>
      <c r="AK24" s="32">
        <f>VLOOKUP($A24,kurspris!$A$1:$Q$262,12,FALSE)</f>
        <v>0</v>
      </c>
      <c r="AL24" s="32">
        <f>VLOOKUP($A24,kurspris!$A$1:$Q$262,13,FALSE)</f>
        <v>0</v>
      </c>
      <c r="AM24" s="32">
        <f>VLOOKUP($A24,kurspris!$A$1:$Q$262,14,FALSE)</f>
        <v>0</v>
      </c>
      <c r="AN24" s="38" t="s">
        <v>917</v>
      </c>
      <c r="AP24" s="32">
        <f t="shared" si="4"/>
        <v>0</v>
      </c>
      <c r="AQ24" s="234">
        <f t="shared" si="5"/>
        <v>0</v>
      </c>
      <c r="AR24" s="32">
        <f t="shared" si="6"/>
        <v>0</v>
      </c>
      <c r="AS24" s="234">
        <f t="shared" si="7"/>
        <v>0</v>
      </c>
      <c r="AT24" s="32">
        <f t="shared" si="8"/>
        <v>0</v>
      </c>
      <c r="AU24" s="32">
        <f t="shared" si="9"/>
        <v>0</v>
      </c>
      <c r="AV24" s="32">
        <f t="shared" si="10"/>
        <v>0</v>
      </c>
      <c r="AW24" s="234">
        <f t="shared" si="11"/>
        <v>0</v>
      </c>
      <c r="AX24" s="226">
        <f t="shared" si="12"/>
        <v>0</v>
      </c>
      <c r="AY24" s="234">
        <f t="shared" si="13"/>
        <v>0</v>
      </c>
      <c r="AZ24" s="32">
        <f t="shared" si="14"/>
        <v>0.1249999985</v>
      </c>
      <c r="BA24" s="234">
        <f t="shared" si="15"/>
        <v>0.1249999985</v>
      </c>
      <c r="BB24" s="32">
        <f t="shared" si="16"/>
        <v>0</v>
      </c>
      <c r="BC24" s="234">
        <f t="shared" si="17"/>
        <v>0</v>
      </c>
      <c r="BD24" s="32">
        <f t="shared" si="18"/>
        <v>0</v>
      </c>
      <c r="BE24" s="234">
        <f t="shared" si="19"/>
        <v>0</v>
      </c>
      <c r="BF24" s="32">
        <f t="shared" si="20"/>
        <v>0</v>
      </c>
      <c r="BG24" s="234">
        <f t="shared" si="21"/>
        <v>0</v>
      </c>
      <c r="BH24" s="32">
        <f t="shared" si="22"/>
        <v>0</v>
      </c>
      <c r="BI24" s="32">
        <f t="shared" si="23"/>
        <v>0</v>
      </c>
      <c r="BJ24" s="234">
        <f t="shared" si="24"/>
        <v>0</v>
      </c>
      <c r="BK24" s="32">
        <f t="shared" si="25"/>
        <v>0</v>
      </c>
      <c r="BL24" s="234">
        <f t="shared" si="26"/>
        <v>0</v>
      </c>
    </row>
    <row r="25" spans="1:64" ht="15" customHeight="1" x14ac:dyDescent="0.25">
      <c r="A25" s="221" t="s">
        <v>778</v>
      </c>
      <c r="B25" s="26" t="str">
        <f>VLOOKUP(A25,kurspris!$A$1:$B$304,2,FALSE)</f>
        <v>Hem- och konsumentkunskap A</v>
      </c>
      <c r="C25" s="56"/>
      <c r="D25" s="59" t="s">
        <v>74</v>
      </c>
      <c r="E25" s="59"/>
      <c r="F25" s="56" t="s">
        <v>892</v>
      </c>
      <c r="G25" s="59"/>
      <c r="H25" s="59"/>
      <c r="K25" s="37"/>
      <c r="L25" s="32">
        <v>100</v>
      </c>
      <c r="M25" s="32">
        <v>30</v>
      </c>
      <c r="N25" s="32">
        <v>1</v>
      </c>
      <c r="O25" s="234">
        <v>0.500000004</v>
      </c>
      <c r="P25" s="39">
        <v>1</v>
      </c>
      <c r="Q25" s="234">
        <f t="shared" si="0"/>
        <v>0.500000004</v>
      </c>
      <c r="R25" s="32">
        <f>VLOOKUP(A25,'Ansvar kurs'!$A$1:$C$399,2,FALSE)</f>
        <v>2650</v>
      </c>
      <c r="S25" s="32" t="str">
        <f>VLOOKUP(R25,Orgenheter!$A$1:$C$166,2,FALSE)</f>
        <v xml:space="preserve">Kostvetenskap                 </v>
      </c>
      <c r="T25" s="32" t="str">
        <f>VLOOKUP(R25,Orgenheter!$A$1:$C$166,3,FALSE)</f>
        <v>Sam</v>
      </c>
      <c r="U25" s="37" t="str">
        <f>VLOOKUP(D25,Program!$A$1:$B$34,2,FALSE)</f>
        <v>VAL-projektet</v>
      </c>
      <c r="V25" s="41">
        <f>VLOOKUP(A25,kurspris!$A$1:$Q$225,15,FALSE)</f>
        <v>19863</v>
      </c>
      <c r="W25" s="41">
        <f>VLOOKUP(A25,kurspris!$A$1:$Q$225,16,FALSE)</f>
        <v>35472</v>
      </c>
      <c r="X25" s="41">
        <f t="shared" si="1"/>
        <v>27667.50022134</v>
      </c>
      <c r="Y25" s="41">
        <f>VLOOKUP(A25,kurspris!$A$1:$Q$225,17,FALSE)</f>
        <v>22200</v>
      </c>
      <c r="Z25" s="41">
        <f t="shared" si="2"/>
        <v>11100.0000888</v>
      </c>
      <c r="AA25" s="41">
        <f t="shared" si="3"/>
        <v>38767.50031014</v>
      </c>
      <c r="AB25" s="32">
        <f>VLOOKUP($A25,kurspris!$A$1:$Q$262,3,FALSE)</f>
        <v>0</v>
      </c>
      <c r="AC25" s="32">
        <f>VLOOKUP($A25,kurspris!$A$1:$Q$262,4,FALSE)</f>
        <v>0</v>
      </c>
      <c r="AD25" s="32">
        <f>VLOOKUP($A25,kurspris!$A$1:$Q$262,5,FALSE)</f>
        <v>0</v>
      </c>
      <c r="AE25" s="32">
        <f>VLOOKUP($A25,kurspris!$A$1:$Q$262,6,FALSE)</f>
        <v>0</v>
      </c>
      <c r="AF25" s="32">
        <f>VLOOKUP($A25,kurspris!$A$1:$Q$262,7,FALSE)</f>
        <v>0</v>
      </c>
      <c r="AG25" s="32">
        <f>VLOOKUP($A25,kurspris!$A$1:$Q$262,8,FALSE)</f>
        <v>1</v>
      </c>
      <c r="AH25" s="32">
        <f>VLOOKUP($A25,kurspris!$A$1:$Q$262,9,FALSE)</f>
        <v>0</v>
      </c>
      <c r="AI25" s="32">
        <f>VLOOKUP($A25,kurspris!$A$1:$Q$262,10,FALSE)</f>
        <v>0</v>
      </c>
      <c r="AJ25" s="32">
        <f>VLOOKUP($A25,kurspris!$A$1:$Q$262,11,FALSE)</f>
        <v>0</v>
      </c>
      <c r="AK25" s="32">
        <f>VLOOKUP($A25,kurspris!$A$1:$Q$262,12,FALSE)</f>
        <v>0</v>
      </c>
      <c r="AL25" s="32">
        <f>VLOOKUP($A25,kurspris!$A$1:$Q$262,13,FALSE)</f>
        <v>0</v>
      </c>
      <c r="AM25" s="32">
        <f>VLOOKUP($A25,kurspris!$A$1:$Q$262,14,FALSE)</f>
        <v>0</v>
      </c>
      <c r="AN25" s="38" t="s">
        <v>917</v>
      </c>
      <c r="AO25"/>
      <c r="AP25" s="32">
        <f t="shared" si="4"/>
        <v>0</v>
      </c>
      <c r="AQ25" s="234">
        <f t="shared" si="5"/>
        <v>0</v>
      </c>
      <c r="AR25" s="32">
        <f t="shared" si="6"/>
        <v>0</v>
      </c>
      <c r="AS25" s="234">
        <f t="shared" si="7"/>
        <v>0</v>
      </c>
      <c r="AT25" s="32">
        <f t="shared" si="8"/>
        <v>0</v>
      </c>
      <c r="AU25" s="32">
        <f t="shared" si="9"/>
        <v>0</v>
      </c>
      <c r="AV25" s="32">
        <f t="shared" si="10"/>
        <v>0</v>
      </c>
      <c r="AW25" s="234">
        <f t="shared" si="11"/>
        <v>0</v>
      </c>
      <c r="AX25" s="226">
        <f t="shared" si="12"/>
        <v>0</v>
      </c>
      <c r="AY25" s="234">
        <f t="shared" si="13"/>
        <v>0</v>
      </c>
      <c r="AZ25" s="32">
        <f t="shared" si="14"/>
        <v>0.500000004</v>
      </c>
      <c r="BA25" s="234">
        <f t="shared" si="15"/>
        <v>0.500000004</v>
      </c>
      <c r="BB25" s="32">
        <f t="shared" si="16"/>
        <v>0</v>
      </c>
      <c r="BC25" s="234">
        <f t="shared" si="17"/>
        <v>0</v>
      </c>
      <c r="BD25" s="32">
        <f t="shared" si="18"/>
        <v>0</v>
      </c>
      <c r="BE25" s="234">
        <f t="shared" si="19"/>
        <v>0</v>
      </c>
      <c r="BF25" s="32">
        <f t="shared" si="20"/>
        <v>0</v>
      </c>
      <c r="BG25" s="234">
        <f t="shared" si="21"/>
        <v>0</v>
      </c>
      <c r="BH25" s="32">
        <f t="shared" si="22"/>
        <v>0</v>
      </c>
      <c r="BI25" s="32">
        <f t="shared" si="23"/>
        <v>0</v>
      </c>
      <c r="BJ25" s="234">
        <f t="shared" si="24"/>
        <v>0</v>
      </c>
      <c r="BK25" s="32">
        <f t="shared" si="25"/>
        <v>0</v>
      </c>
      <c r="BL25" s="234">
        <f t="shared" si="26"/>
        <v>0</v>
      </c>
    </row>
    <row r="26" spans="1:64" ht="15" customHeight="1" x14ac:dyDescent="0.25">
      <c r="A26" s="221" t="s">
        <v>866</v>
      </c>
      <c r="B26" s="26" t="str">
        <f>VLOOKUP(A26,kurspris!$A$1:$B$304,2,FALSE)</f>
        <v>Hälsokommunikation och sociologiska perspektiv inom hem- och konsumentkunskap</v>
      </c>
      <c r="C26" s="56"/>
      <c r="D26" s="32" t="s">
        <v>74</v>
      </c>
      <c r="E26" s="59"/>
      <c r="F26" s="56" t="s">
        <v>892</v>
      </c>
      <c r="G26" s="59"/>
      <c r="H26" s="59"/>
      <c r="K26" s="37"/>
      <c r="L26" s="32">
        <v>33</v>
      </c>
      <c r="M26" s="32">
        <v>7.5</v>
      </c>
      <c r="N26" s="32">
        <v>5</v>
      </c>
      <c r="O26" s="234">
        <v>0.62500000499999997</v>
      </c>
      <c r="P26" s="39">
        <v>1</v>
      </c>
      <c r="Q26" s="234">
        <f t="shared" si="0"/>
        <v>0.62500000499999997</v>
      </c>
      <c r="R26" s="32">
        <f>VLOOKUP(A26,'Ansvar kurs'!$A$1:$C$399,2,FALSE)</f>
        <v>2650</v>
      </c>
      <c r="S26" s="32" t="str">
        <f>VLOOKUP(R26,Orgenheter!$A$1:$C$166,2,FALSE)</f>
        <v xml:space="preserve">Kostvetenskap                 </v>
      </c>
      <c r="T26" s="32" t="str">
        <f>VLOOKUP(R26,Orgenheter!$A$1:$C$166,3,FALSE)</f>
        <v>Sam</v>
      </c>
      <c r="U26" s="37" t="str">
        <f>VLOOKUP(D26,Program!$A$1:$B$34,2,FALSE)</f>
        <v>VAL-projektet</v>
      </c>
      <c r="V26" s="41">
        <f>VLOOKUP(A26,kurspris!$A$1:$Q$225,15,FALSE)</f>
        <v>19097</v>
      </c>
      <c r="W26" s="41">
        <f>VLOOKUP(A26,kurspris!$A$1:$Q$225,16,FALSE)</f>
        <v>16075</v>
      </c>
      <c r="X26" s="41">
        <f t="shared" si="1"/>
        <v>21982.500175859997</v>
      </c>
      <c r="Y26" s="41">
        <f>VLOOKUP(A26,kurspris!$A$1:$Q$225,17,FALSE)</f>
        <v>5900</v>
      </c>
      <c r="Z26" s="41">
        <f t="shared" si="2"/>
        <v>3687.5000295</v>
      </c>
      <c r="AA26" s="41">
        <f t="shared" si="3"/>
        <v>25670.000205359996</v>
      </c>
      <c r="AB26" s="32">
        <f>VLOOKUP($A26,kurspris!$A$1:$Q$262,3,FALSE)</f>
        <v>0</v>
      </c>
      <c r="AC26" s="32">
        <f>VLOOKUP($A26,kurspris!$A$1:$Q$262,4,FALSE)</f>
        <v>0</v>
      </c>
      <c r="AD26" s="32">
        <f>VLOOKUP($A26,kurspris!$A$1:$Q$262,5,FALSE)</f>
        <v>0</v>
      </c>
      <c r="AE26" s="32">
        <f>VLOOKUP($A26,kurspris!$A$1:$Q$262,6,FALSE)</f>
        <v>0</v>
      </c>
      <c r="AF26" s="32">
        <f>VLOOKUP($A26,kurspris!$A$1:$Q$262,7,FALSE)</f>
        <v>0</v>
      </c>
      <c r="AG26" s="32">
        <f>VLOOKUP($A26,kurspris!$A$1:$Q$262,8,FALSE)</f>
        <v>0</v>
      </c>
      <c r="AH26" s="32">
        <f>VLOOKUP($A26,kurspris!$A$1:$Q$262,9,FALSE)</f>
        <v>1</v>
      </c>
      <c r="AI26" s="32">
        <f>VLOOKUP($A26,kurspris!$A$1:$Q$262,10,FALSE)</f>
        <v>0</v>
      </c>
      <c r="AJ26" s="32">
        <f>VLOOKUP($A26,kurspris!$A$1:$Q$262,11,FALSE)</f>
        <v>0</v>
      </c>
      <c r="AK26" s="32">
        <f>VLOOKUP($A26,kurspris!$A$1:$Q$262,12,FALSE)</f>
        <v>0</v>
      </c>
      <c r="AL26" s="32">
        <f>VLOOKUP($A26,kurspris!$A$1:$Q$262,13,FALSE)</f>
        <v>0</v>
      </c>
      <c r="AM26" s="32">
        <f>VLOOKUP($A26,kurspris!$A$1:$Q$262,14,FALSE)</f>
        <v>0</v>
      </c>
      <c r="AN26" s="38" t="s">
        <v>917</v>
      </c>
      <c r="AO26"/>
      <c r="AP26" s="32">
        <f t="shared" si="4"/>
        <v>0</v>
      </c>
      <c r="AQ26" s="234">
        <f t="shared" si="5"/>
        <v>0</v>
      </c>
      <c r="AR26" s="32">
        <f t="shared" si="6"/>
        <v>0</v>
      </c>
      <c r="AS26" s="234">
        <f t="shared" si="7"/>
        <v>0</v>
      </c>
      <c r="AT26" s="32">
        <f t="shared" si="8"/>
        <v>0</v>
      </c>
      <c r="AU26" s="32">
        <f t="shared" si="9"/>
        <v>0</v>
      </c>
      <c r="AV26" s="32">
        <f t="shared" si="10"/>
        <v>0</v>
      </c>
      <c r="AW26" s="234">
        <f t="shared" si="11"/>
        <v>0</v>
      </c>
      <c r="AX26" s="226">
        <f t="shared" si="12"/>
        <v>0</v>
      </c>
      <c r="AY26" s="234">
        <f t="shared" si="13"/>
        <v>0</v>
      </c>
      <c r="AZ26" s="32">
        <f t="shared" si="14"/>
        <v>0</v>
      </c>
      <c r="BA26" s="234">
        <f t="shared" si="15"/>
        <v>0</v>
      </c>
      <c r="BB26" s="32">
        <f t="shared" si="16"/>
        <v>0.62500000499999997</v>
      </c>
      <c r="BC26" s="234">
        <f t="shared" si="17"/>
        <v>0.62500000499999997</v>
      </c>
      <c r="BD26" s="32">
        <f t="shared" si="18"/>
        <v>0</v>
      </c>
      <c r="BE26" s="234">
        <f t="shared" si="19"/>
        <v>0</v>
      </c>
      <c r="BF26" s="32">
        <f t="shared" si="20"/>
        <v>0</v>
      </c>
      <c r="BG26" s="234">
        <f t="shared" si="21"/>
        <v>0</v>
      </c>
      <c r="BH26" s="32">
        <f t="shared" si="22"/>
        <v>0</v>
      </c>
      <c r="BI26" s="32">
        <f t="shared" si="23"/>
        <v>0</v>
      </c>
      <c r="BJ26" s="234">
        <f t="shared" si="24"/>
        <v>0</v>
      </c>
      <c r="BK26" s="32">
        <f t="shared" si="25"/>
        <v>0</v>
      </c>
      <c r="BL26" s="234">
        <f t="shared" si="26"/>
        <v>0</v>
      </c>
    </row>
    <row r="27" spans="1:64" ht="15" customHeight="1" x14ac:dyDescent="0.25">
      <c r="A27" s="221" t="s">
        <v>867</v>
      </c>
      <c r="B27" s="26" t="str">
        <f>VLOOKUP(A27,kurspris!$A$1:$B$304,2,FALSE)</f>
        <v>Vetenskaplig metod med inriktning hem- och konsumentkunskap</v>
      </c>
      <c r="C27" s="56"/>
      <c r="D27" s="32" t="s">
        <v>74</v>
      </c>
      <c r="E27" s="59"/>
      <c r="F27" s="56" t="s">
        <v>892</v>
      </c>
      <c r="G27" s="59"/>
      <c r="H27" s="59"/>
      <c r="K27" s="37"/>
      <c r="L27" s="32">
        <v>100</v>
      </c>
      <c r="M27" s="32">
        <v>7.5</v>
      </c>
      <c r="N27" s="32">
        <v>7</v>
      </c>
      <c r="O27" s="234">
        <v>0.87500000770000008</v>
      </c>
      <c r="P27" s="39">
        <v>1</v>
      </c>
      <c r="Q27" s="234">
        <f t="shared" si="0"/>
        <v>0.87500000770000008</v>
      </c>
      <c r="R27" s="32">
        <f>VLOOKUP(A27,'Ansvar kurs'!$A$1:$C$399,2,FALSE)</f>
        <v>2650</v>
      </c>
      <c r="S27" s="32" t="str">
        <f>VLOOKUP(R27,Orgenheter!$A$1:$C$166,2,FALSE)</f>
        <v xml:space="preserve">Kostvetenskap                 </v>
      </c>
      <c r="T27" s="32" t="str">
        <f>VLOOKUP(R27,Orgenheter!$A$1:$C$166,3,FALSE)</f>
        <v>Sam</v>
      </c>
      <c r="U27" s="37" t="str">
        <f>VLOOKUP(D27,Program!$A$1:$B$34,2,FALSE)</f>
        <v>VAL-projektet</v>
      </c>
      <c r="V27" s="41">
        <f>VLOOKUP(A27,kurspris!$A$1:$Q$225,15,FALSE)</f>
        <v>19097</v>
      </c>
      <c r="W27" s="41">
        <f>VLOOKUP(A27,kurspris!$A$1:$Q$225,16,FALSE)</f>
        <v>16075</v>
      </c>
      <c r="X27" s="41">
        <f t="shared" si="1"/>
        <v>30775.500270824406</v>
      </c>
      <c r="Y27" s="41">
        <f>VLOOKUP(A27,kurspris!$A$1:$Q$225,17,FALSE)</f>
        <v>5900</v>
      </c>
      <c r="Z27" s="41">
        <f t="shared" si="2"/>
        <v>5162.5000454300007</v>
      </c>
      <c r="AA27" s="41">
        <f t="shared" si="3"/>
        <v>35938.000316254409</v>
      </c>
      <c r="AB27" s="32">
        <f>VLOOKUP($A27,kurspris!$A$1:$Q$262,3,FALSE)</f>
        <v>0</v>
      </c>
      <c r="AC27" s="32">
        <f>VLOOKUP($A27,kurspris!$A$1:$Q$262,4,FALSE)</f>
        <v>0</v>
      </c>
      <c r="AD27" s="32">
        <f>VLOOKUP($A27,kurspris!$A$1:$Q$262,5,FALSE)</f>
        <v>0</v>
      </c>
      <c r="AE27" s="32">
        <f>VLOOKUP($A27,kurspris!$A$1:$Q$262,6,FALSE)</f>
        <v>0</v>
      </c>
      <c r="AF27" s="32">
        <f>VLOOKUP($A27,kurspris!$A$1:$Q$262,7,FALSE)</f>
        <v>0</v>
      </c>
      <c r="AG27" s="32">
        <f>VLOOKUP($A27,kurspris!$A$1:$Q$262,8,FALSE)</f>
        <v>0</v>
      </c>
      <c r="AH27" s="32">
        <f>VLOOKUP($A27,kurspris!$A$1:$Q$262,9,FALSE)</f>
        <v>1</v>
      </c>
      <c r="AI27" s="32">
        <f>VLOOKUP($A27,kurspris!$A$1:$Q$262,10,FALSE)</f>
        <v>0</v>
      </c>
      <c r="AJ27" s="32">
        <f>VLOOKUP($A27,kurspris!$A$1:$Q$262,11,FALSE)</f>
        <v>0</v>
      </c>
      <c r="AK27" s="32">
        <f>VLOOKUP($A27,kurspris!$A$1:$Q$262,12,FALSE)</f>
        <v>0</v>
      </c>
      <c r="AL27" s="32">
        <f>VLOOKUP($A27,kurspris!$A$1:$Q$262,13,FALSE)</f>
        <v>0</v>
      </c>
      <c r="AM27" s="32">
        <f>VLOOKUP($A27,kurspris!$A$1:$Q$262,14,FALSE)</f>
        <v>0</v>
      </c>
      <c r="AN27" s="38" t="s">
        <v>917</v>
      </c>
      <c r="AO27"/>
      <c r="AP27" s="32">
        <f t="shared" si="4"/>
        <v>0</v>
      </c>
      <c r="AQ27" s="234">
        <f t="shared" si="5"/>
        <v>0</v>
      </c>
      <c r="AR27" s="32">
        <f t="shared" si="6"/>
        <v>0</v>
      </c>
      <c r="AS27" s="234">
        <f t="shared" si="7"/>
        <v>0</v>
      </c>
      <c r="AT27" s="32">
        <f t="shared" si="8"/>
        <v>0</v>
      </c>
      <c r="AU27" s="32">
        <f t="shared" si="9"/>
        <v>0</v>
      </c>
      <c r="AV27" s="32">
        <f t="shared" si="10"/>
        <v>0</v>
      </c>
      <c r="AW27" s="234">
        <f t="shared" si="11"/>
        <v>0</v>
      </c>
      <c r="AX27" s="226">
        <f t="shared" si="12"/>
        <v>0</v>
      </c>
      <c r="AY27" s="234">
        <f t="shared" si="13"/>
        <v>0</v>
      </c>
      <c r="AZ27" s="32">
        <f t="shared" si="14"/>
        <v>0</v>
      </c>
      <c r="BA27" s="234">
        <f t="shared" si="15"/>
        <v>0</v>
      </c>
      <c r="BB27" s="32">
        <f t="shared" si="16"/>
        <v>0.87500000770000008</v>
      </c>
      <c r="BC27" s="234">
        <f t="shared" si="17"/>
        <v>0.87500000770000008</v>
      </c>
      <c r="BD27" s="32">
        <f t="shared" si="18"/>
        <v>0</v>
      </c>
      <c r="BE27" s="234">
        <f t="shared" si="19"/>
        <v>0</v>
      </c>
      <c r="BF27" s="32">
        <f t="shared" si="20"/>
        <v>0</v>
      </c>
      <c r="BG27" s="234">
        <f t="shared" si="21"/>
        <v>0</v>
      </c>
      <c r="BH27" s="32">
        <f t="shared" si="22"/>
        <v>0</v>
      </c>
      <c r="BI27" s="32">
        <f t="shared" si="23"/>
        <v>0</v>
      </c>
      <c r="BJ27" s="234">
        <f t="shared" si="24"/>
        <v>0</v>
      </c>
      <c r="BK27" s="32">
        <f t="shared" si="25"/>
        <v>0</v>
      </c>
      <c r="BL27" s="234">
        <f t="shared" si="26"/>
        <v>0</v>
      </c>
    </row>
    <row r="28" spans="1:64" ht="15" customHeight="1" x14ac:dyDescent="0.25">
      <c r="A28" s="221" t="s">
        <v>868</v>
      </c>
      <c r="B28" s="26" t="str">
        <f>VLOOKUP(A28,kurspris!$A$1:$B$304,2,FALSE)</f>
        <v>Uppsats med inriktning hem- och konsumentkunskap</v>
      </c>
      <c r="C28" s="56"/>
      <c r="D28" s="32" t="s">
        <v>74</v>
      </c>
      <c r="E28" s="59"/>
      <c r="F28" s="56" t="s">
        <v>892</v>
      </c>
      <c r="G28" s="59"/>
      <c r="H28" s="59"/>
      <c r="K28" s="37"/>
      <c r="L28" s="32">
        <v>67</v>
      </c>
      <c r="M28" s="32">
        <v>15</v>
      </c>
      <c r="N28" s="32">
        <v>7</v>
      </c>
      <c r="O28" s="234">
        <v>1.7500000371</v>
      </c>
      <c r="P28" s="39">
        <v>1</v>
      </c>
      <c r="Q28" s="234">
        <f t="shared" si="0"/>
        <v>1.7500000371</v>
      </c>
      <c r="R28" s="32">
        <f>VLOOKUP(A28,'Ansvar kurs'!$A$1:$C$399,2,FALSE)</f>
        <v>2650</v>
      </c>
      <c r="S28" s="32" t="str">
        <f>VLOOKUP(R28,Orgenheter!$A$1:$C$166,2,FALSE)</f>
        <v xml:space="preserve">Kostvetenskap                 </v>
      </c>
      <c r="T28" s="32" t="str">
        <f>VLOOKUP(R28,Orgenheter!$A$1:$C$166,3,FALSE)</f>
        <v>Sam</v>
      </c>
      <c r="U28" s="37" t="str">
        <f>VLOOKUP(D28,Program!$A$1:$B$34,2,FALSE)</f>
        <v>VAL-projektet</v>
      </c>
      <c r="V28" s="41">
        <f>VLOOKUP(A28,kurspris!$A$1:$Q$225,15,FALSE)</f>
        <v>19097</v>
      </c>
      <c r="W28" s="41">
        <f>VLOOKUP(A28,kurspris!$A$1:$Q$225,16,FALSE)</f>
        <v>16075</v>
      </c>
      <c r="X28" s="41">
        <f t="shared" si="1"/>
        <v>61551.001304881196</v>
      </c>
      <c r="Y28" s="41">
        <f>VLOOKUP(A28,kurspris!$A$1:$Q$225,17,FALSE)</f>
        <v>5900</v>
      </c>
      <c r="Z28" s="41">
        <f t="shared" si="2"/>
        <v>10325.00021889</v>
      </c>
      <c r="AA28" s="41">
        <f t="shared" si="3"/>
        <v>71876.001523771192</v>
      </c>
      <c r="AB28" s="32">
        <f>VLOOKUP($A28,kurspris!$A$1:$Q$262,3,FALSE)</f>
        <v>0</v>
      </c>
      <c r="AC28" s="32">
        <f>VLOOKUP($A28,kurspris!$A$1:$Q$262,4,FALSE)</f>
        <v>0</v>
      </c>
      <c r="AD28" s="32">
        <f>VLOOKUP($A28,kurspris!$A$1:$Q$262,5,FALSE)</f>
        <v>0</v>
      </c>
      <c r="AE28" s="32">
        <f>VLOOKUP($A28,kurspris!$A$1:$Q$262,6,FALSE)</f>
        <v>0</v>
      </c>
      <c r="AF28" s="32">
        <f>VLOOKUP($A28,kurspris!$A$1:$Q$262,7,FALSE)</f>
        <v>0</v>
      </c>
      <c r="AG28" s="32">
        <f>VLOOKUP($A28,kurspris!$A$1:$Q$262,8,FALSE)</f>
        <v>0</v>
      </c>
      <c r="AH28" s="32">
        <f>VLOOKUP($A28,kurspris!$A$1:$Q$262,9,FALSE)</f>
        <v>1</v>
      </c>
      <c r="AI28" s="32">
        <f>VLOOKUP($A28,kurspris!$A$1:$Q$262,10,FALSE)</f>
        <v>0</v>
      </c>
      <c r="AJ28" s="32">
        <f>VLOOKUP($A28,kurspris!$A$1:$Q$262,11,FALSE)</f>
        <v>0</v>
      </c>
      <c r="AK28" s="32">
        <f>VLOOKUP($A28,kurspris!$A$1:$Q$262,12,FALSE)</f>
        <v>0</v>
      </c>
      <c r="AL28" s="32">
        <f>VLOOKUP($A28,kurspris!$A$1:$Q$262,13,FALSE)</f>
        <v>0</v>
      </c>
      <c r="AM28" s="32">
        <f>VLOOKUP($A28,kurspris!$A$1:$Q$262,14,FALSE)</f>
        <v>0</v>
      </c>
      <c r="AN28" s="38" t="s">
        <v>917</v>
      </c>
      <c r="AP28" s="32">
        <f t="shared" si="4"/>
        <v>0</v>
      </c>
      <c r="AQ28" s="234">
        <f t="shared" si="5"/>
        <v>0</v>
      </c>
      <c r="AR28" s="32">
        <f t="shared" si="6"/>
        <v>0</v>
      </c>
      <c r="AS28" s="234">
        <f t="shared" si="7"/>
        <v>0</v>
      </c>
      <c r="AT28" s="32">
        <f t="shared" si="8"/>
        <v>0</v>
      </c>
      <c r="AU28" s="32">
        <f t="shared" si="9"/>
        <v>0</v>
      </c>
      <c r="AV28" s="32">
        <f t="shared" si="10"/>
        <v>0</v>
      </c>
      <c r="AW28" s="234">
        <f t="shared" si="11"/>
        <v>0</v>
      </c>
      <c r="AX28" s="226">
        <f t="shared" si="12"/>
        <v>0</v>
      </c>
      <c r="AY28" s="234">
        <f t="shared" si="13"/>
        <v>0</v>
      </c>
      <c r="AZ28" s="32">
        <f t="shared" si="14"/>
        <v>0</v>
      </c>
      <c r="BA28" s="234">
        <f t="shared" si="15"/>
        <v>0</v>
      </c>
      <c r="BB28" s="32">
        <f t="shared" si="16"/>
        <v>1.7500000371</v>
      </c>
      <c r="BC28" s="234">
        <f t="shared" si="17"/>
        <v>1.7500000371</v>
      </c>
      <c r="BD28" s="32">
        <f t="shared" si="18"/>
        <v>0</v>
      </c>
      <c r="BE28" s="234">
        <f t="shared" si="19"/>
        <v>0</v>
      </c>
      <c r="BF28" s="32">
        <f t="shared" si="20"/>
        <v>0</v>
      </c>
      <c r="BG28" s="234">
        <f t="shared" si="21"/>
        <v>0</v>
      </c>
      <c r="BH28" s="32">
        <f t="shared" si="22"/>
        <v>0</v>
      </c>
      <c r="BI28" s="32">
        <f t="shared" si="23"/>
        <v>0</v>
      </c>
      <c r="BJ28" s="234">
        <f t="shared" si="24"/>
        <v>0</v>
      </c>
      <c r="BK28" s="32">
        <f t="shared" si="25"/>
        <v>0</v>
      </c>
      <c r="BL28" s="234">
        <f t="shared" si="26"/>
        <v>0</v>
      </c>
    </row>
    <row r="29" spans="1:64" ht="15" customHeight="1" x14ac:dyDescent="0.25">
      <c r="A29" s="221" t="s">
        <v>869</v>
      </c>
      <c r="B29" s="26" t="str">
        <f>VLOOKUP(A29,kurspris!$A$1:$B$304,2,FALSE)</f>
        <v>Skolmusikal</v>
      </c>
      <c r="C29" s="56"/>
      <c r="D29" s="59" t="s">
        <v>74</v>
      </c>
      <c r="E29" s="59"/>
      <c r="F29" s="56" t="s">
        <v>892</v>
      </c>
      <c r="G29" s="59"/>
      <c r="H29" s="59"/>
      <c r="J29" s="59"/>
      <c r="K29" s="37"/>
      <c r="L29" s="32">
        <v>25</v>
      </c>
      <c r="M29" s="32">
        <v>7.5</v>
      </c>
      <c r="N29" s="32">
        <v>1</v>
      </c>
      <c r="O29" s="234">
        <v>0.124999994</v>
      </c>
      <c r="P29" s="39">
        <v>1</v>
      </c>
      <c r="Q29" s="234">
        <f t="shared" si="0"/>
        <v>0.124999994</v>
      </c>
      <c r="R29" s="32">
        <f>VLOOKUP(A29,'Ansvar kurs'!$A$1:$C$399,2,FALSE)</f>
        <v>1650</v>
      </c>
      <c r="S29" s="32" t="str">
        <f>VLOOKUP(R29,Orgenheter!$A$1:$C$166,2,FALSE)</f>
        <v xml:space="preserve">Estetiska ämnen               </v>
      </c>
      <c r="T29" s="32" t="str">
        <f>VLOOKUP(R29,Orgenheter!$A$1:$C$166,3,FALSE)</f>
        <v>Hum</v>
      </c>
      <c r="U29" s="37" t="str">
        <f>VLOOKUP(D29,Program!$A$1:$B$34,2,FALSE)</f>
        <v>VAL-projektet</v>
      </c>
      <c r="V29" s="41">
        <f>VLOOKUP(A29,kurspris!$A$1:$Q$225,15,FALSE)</f>
        <v>31433</v>
      </c>
      <c r="W29" s="41">
        <f>VLOOKUP(A29,kurspris!$A$1:$Q$225,16,FALSE)</f>
        <v>65018</v>
      </c>
      <c r="X29" s="41">
        <f t="shared" si="1"/>
        <v>12056.374421294</v>
      </c>
      <c r="Y29" s="41">
        <f>VLOOKUP(A29,kurspris!$A$1:$Q$225,17,FALSE)</f>
        <v>71400</v>
      </c>
      <c r="Z29" s="41">
        <f t="shared" si="2"/>
        <v>8924.9995715999994</v>
      </c>
      <c r="AA29" s="41">
        <f t="shared" si="3"/>
        <v>20981.373992893998</v>
      </c>
      <c r="AB29" s="32">
        <f>VLOOKUP($A29,kurspris!$A$1:$Q$262,3,FALSE)</f>
        <v>0</v>
      </c>
      <c r="AC29" s="32">
        <f>VLOOKUP($A29,kurspris!$A$1:$Q$262,4,FALSE)</f>
        <v>0</v>
      </c>
      <c r="AD29" s="32">
        <f>VLOOKUP($A29,kurspris!$A$1:$Q$262,5,FALSE)</f>
        <v>0</v>
      </c>
      <c r="AE29" s="32">
        <f>VLOOKUP($A29,kurspris!$A$1:$Q$262,6,FALSE)</f>
        <v>0</v>
      </c>
      <c r="AF29" s="32">
        <f>VLOOKUP($A29,kurspris!$A$1:$Q$262,7,FALSE)</f>
        <v>1</v>
      </c>
      <c r="AG29" s="32">
        <f>VLOOKUP($A29,kurspris!$A$1:$Q$262,8,FALSE)</f>
        <v>0</v>
      </c>
      <c r="AH29" s="32">
        <f>VLOOKUP($A29,kurspris!$A$1:$Q$262,9,FALSE)</f>
        <v>0</v>
      </c>
      <c r="AI29" s="32">
        <f>VLOOKUP($A29,kurspris!$A$1:$Q$262,10,FALSE)</f>
        <v>0</v>
      </c>
      <c r="AJ29" s="32">
        <f>VLOOKUP($A29,kurspris!$A$1:$Q$262,11,FALSE)</f>
        <v>0</v>
      </c>
      <c r="AK29" s="32">
        <f>VLOOKUP($A29,kurspris!$A$1:$Q$262,12,FALSE)</f>
        <v>0</v>
      </c>
      <c r="AL29" s="32">
        <f>VLOOKUP($A29,kurspris!$A$1:$Q$262,13,FALSE)</f>
        <v>0</v>
      </c>
      <c r="AM29" s="32">
        <f>VLOOKUP($A29,kurspris!$A$1:$Q$262,14,FALSE)</f>
        <v>0</v>
      </c>
      <c r="AN29" s="38" t="s">
        <v>917</v>
      </c>
      <c r="AO29"/>
      <c r="AP29" s="32">
        <f t="shared" si="4"/>
        <v>0</v>
      </c>
      <c r="AQ29" s="234">
        <f t="shared" si="5"/>
        <v>0</v>
      </c>
      <c r="AR29" s="32">
        <f t="shared" si="6"/>
        <v>0</v>
      </c>
      <c r="AS29" s="234">
        <f t="shared" si="7"/>
        <v>0</v>
      </c>
      <c r="AT29" s="32">
        <f t="shared" si="8"/>
        <v>0</v>
      </c>
      <c r="AU29" s="32">
        <f t="shared" si="9"/>
        <v>0</v>
      </c>
      <c r="AV29" s="32">
        <f t="shared" si="10"/>
        <v>0</v>
      </c>
      <c r="AW29" s="234">
        <f t="shared" si="11"/>
        <v>0</v>
      </c>
      <c r="AX29" s="226">
        <f t="shared" si="12"/>
        <v>0.124999994</v>
      </c>
      <c r="AY29" s="234">
        <f t="shared" si="13"/>
        <v>0.124999994</v>
      </c>
      <c r="AZ29" s="32">
        <f t="shared" si="14"/>
        <v>0</v>
      </c>
      <c r="BA29" s="234">
        <f t="shared" si="15"/>
        <v>0</v>
      </c>
      <c r="BB29" s="32">
        <f t="shared" si="16"/>
        <v>0</v>
      </c>
      <c r="BC29" s="234">
        <f t="shared" si="17"/>
        <v>0</v>
      </c>
      <c r="BD29" s="32">
        <f t="shared" si="18"/>
        <v>0</v>
      </c>
      <c r="BE29" s="234">
        <f t="shared" si="19"/>
        <v>0</v>
      </c>
      <c r="BF29" s="32">
        <f t="shared" si="20"/>
        <v>0</v>
      </c>
      <c r="BG29" s="234">
        <f t="shared" si="21"/>
        <v>0</v>
      </c>
      <c r="BH29" s="32">
        <f t="shared" si="22"/>
        <v>0</v>
      </c>
      <c r="BI29" s="32">
        <f t="shared" si="23"/>
        <v>0</v>
      </c>
      <c r="BJ29" s="234">
        <f t="shared" si="24"/>
        <v>0</v>
      </c>
      <c r="BK29" s="32">
        <f t="shared" si="25"/>
        <v>0</v>
      </c>
      <c r="BL29" s="234">
        <f t="shared" si="26"/>
        <v>0</v>
      </c>
    </row>
    <row r="30" spans="1:64" ht="15" customHeight="1" x14ac:dyDescent="0.25">
      <c r="A30" s="162" t="s">
        <v>642</v>
      </c>
      <c r="B30" s="26" t="str">
        <f>VLOOKUP(A30,kurspris!$A$1:$B$304,2,FALSE)</f>
        <v>Läs - och skrivutveckling, kurs 2</v>
      </c>
      <c r="C30" s="56"/>
      <c r="D30" s="59" t="s">
        <v>74</v>
      </c>
      <c r="E30" s="59"/>
      <c r="F30" s="56" t="s">
        <v>892</v>
      </c>
      <c r="H30" s="59"/>
      <c r="K30" s="37"/>
      <c r="L30" s="32">
        <v>50</v>
      </c>
      <c r="M30" s="32">
        <v>7.5</v>
      </c>
      <c r="N30" s="32">
        <v>10</v>
      </c>
      <c r="O30" s="234">
        <v>1.2500000250000001</v>
      </c>
      <c r="P30" s="39">
        <v>1</v>
      </c>
      <c r="Q30" s="234">
        <f t="shared" si="0"/>
        <v>1.2500000250000001</v>
      </c>
      <c r="R30" s="32">
        <f>VLOOKUP(A30,'Ansvar kurs'!$A$1:$C$399,2,FALSE)</f>
        <v>1620</v>
      </c>
      <c r="S30" s="32" t="str">
        <f>VLOOKUP(R30,Orgenheter!$A$1:$C$166,2,FALSE)</f>
        <v>Inst för språkstudier</v>
      </c>
      <c r="T30" s="32" t="str">
        <f>VLOOKUP(R30,Orgenheter!$A$1:$C$166,3,FALSE)</f>
        <v>Hum</v>
      </c>
      <c r="U30" s="37" t="str">
        <f>VLOOKUP(D30,Program!$A$1:$B$34,2,FALSE)</f>
        <v>VAL-projektet</v>
      </c>
      <c r="V30" s="41">
        <f>VLOOKUP(A30,kurspris!$A$1:$Q$225,15,FALSE)</f>
        <v>19097</v>
      </c>
      <c r="W30" s="41">
        <f>VLOOKUP(A30,kurspris!$A$1:$Q$225,16,FALSE)</f>
        <v>16075</v>
      </c>
      <c r="X30" s="41">
        <f t="shared" si="1"/>
        <v>43965.000879300002</v>
      </c>
      <c r="Y30" s="41">
        <f>VLOOKUP(A30,kurspris!$A$1:$Q$225,17,FALSE)</f>
        <v>5900</v>
      </c>
      <c r="Z30" s="41">
        <f t="shared" si="2"/>
        <v>7375.0001475000008</v>
      </c>
      <c r="AA30" s="41">
        <f t="shared" si="3"/>
        <v>51340.001026800004</v>
      </c>
      <c r="AB30" s="32">
        <f>VLOOKUP($A30,kurspris!$A$1:$Q$262,3,FALSE)</f>
        <v>0</v>
      </c>
      <c r="AC30" s="32">
        <f>VLOOKUP($A30,kurspris!$A$1:$Q$262,4,FALSE)</f>
        <v>1</v>
      </c>
      <c r="AD30" s="32">
        <f>VLOOKUP($A30,kurspris!$A$1:$Q$262,5,FALSE)</f>
        <v>0</v>
      </c>
      <c r="AE30" s="32">
        <f>VLOOKUP($A30,kurspris!$A$1:$Q$262,6,FALSE)</f>
        <v>0</v>
      </c>
      <c r="AF30" s="32">
        <f>VLOOKUP($A30,kurspris!$A$1:$Q$262,7,FALSE)</f>
        <v>0</v>
      </c>
      <c r="AG30" s="32">
        <f>VLOOKUP($A30,kurspris!$A$1:$Q$262,8,FALSE)</f>
        <v>0</v>
      </c>
      <c r="AH30" s="32">
        <f>VLOOKUP($A30,kurspris!$A$1:$Q$262,9,FALSE)</f>
        <v>0</v>
      </c>
      <c r="AI30" s="32">
        <f>VLOOKUP($A30,kurspris!$A$1:$Q$262,10,FALSE)</f>
        <v>0</v>
      </c>
      <c r="AJ30" s="32">
        <f>VLOOKUP($A30,kurspris!$A$1:$Q$262,11,FALSE)</f>
        <v>0</v>
      </c>
      <c r="AK30" s="32">
        <f>VLOOKUP($A30,kurspris!$A$1:$Q$262,12,FALSE)</f>
        <v>0</v>
      </c>
      <c r="AL30" s="32">
        <f>VLOOKUP($A30,kurspris!$A$1:$Q$262,13,FALSE)</f>
        <v>0</v>
      </c>
      <c r="AM30" s="32">
        <f>VLOOKUP($A30,kurspris!$A$1:$Q$262,14,FALSE)</f>
        <v>0</v>
      </c>
      <c r="AN30" s="38" t="s">
        <v>917</v>
      </c>
      <c r="AO30"/>
      <c r="AP30" s="32">
        <f t="shared" si="4"/>
        <v>0</v>
      </c>
      <c r="AQ30" s="234">
        <f t="shared" si="5"/>
        <v>0</v>
      </c>
      <c r="AR30" s="32">
        <f t="shared" si="6"/>
        <v>1.2500000250000001</v>
      </c>
      <c r="AS30" s="234">
        <f t="shared" si="7"/>
        <v>1.2500000250000001</v>
      </c>
      <c r="AT30" s="32">
        <f t="shared" si="8"/>
        <v>0</v>
      </c>
      <c r="AU30" s="32">
        <f t="shared" si="9"/>
        <v>0</v>
      </c>
      <c r="AV30" s="32">
        <f t="shared" si="10"/>
        <v>0</v>
      </c>
      <c r="AW30" s="234">
        <f t="shared" si="11"/>
        <v>0</v>
      </c>
      <c r="AX30" s="226">
        <f t="shared" si="12"/>
        <v>0</v>
      </c>
      <c r="AY30" s="234">
        <f t="shared" si="13"/>
        <v>0</v>
      </c>
      <c r="AZ30" s="32">
        <f t="shared" si="14"/>
        <v>0</v>
      </c>
      <c r="BA30" s="234">
        <f t="shared" si="15"/>
        <v>0</v>
      </c>
      <c r="BB30" s="32">
        <f t="shared" si="16"/>
        <v>0</v>
      </c>
      <c r="BC30" s="234">
        <f t="shared" si="17"/>
        <v>0</v>
      </c>
      <c r="BD30" s="32">
        <f t="shared" si="18"/>
        <v>0</v>
      </c>
      <c r="BE30" s="234">
        <f t="shared" si="19"/>
        <v>0</v>
      </c>
      <c r="BF30" s="32">
        <f t="shared" si="20"/>
        <v>0</v>
      </c>
      <c r="BG30" s="234">
        <f t="shared" si="21"/>
        <v>0</v>
      </c>
      <c r="BH30" s="32">
        <f t="shared" si="22"/>
        <v>0</v>
      </c>
      <c r="BI30" s="32">
        <f t="shared" si="23"/>
        <v>0</v>
      </c>
      <c r="BJ30" s="234">
        <f t="shared" si="24"/>
        <v>0</v>
      </c>
      <c r="BK30" s="32">
        <f t="shared" si="25"/>
        <v>0</v>
      </c>
      <c r="BL30" s="234">
        <f t="shared" si="26"/>
        <v>0</v>
      </c>
    </row>
    <row r="31" spans="1:64" ht="15" customHeight="1" x14ac:dyDescent="0.25">
      <c r="A31" s="162" t="s">
        <v>870</v>
      </c>
      <c r="B31" s="26" t="str">
        <f>VLOOKUP(A31,kurspris!$A$1:$B$304,2,FALSE)</f>
        <v>Problemlösning och matematiska resonemang</v>
      </c>
      <c r="C31" s="56"/>
      <c r="D31" s="59" t="s">
        <v>74</v>
      </c>
      <c r="E31" s="59"/>
      <c r="F31" s="56" t="s">
        <v>892</v>
      </c>
      <c r="H31" s="59"/>
      <c r="K31" s="37"/>
      <c r="L31" s="32">
        <v>100</v>
      </c>
      <c r="M31" s="32">
        <v>7.5</v>
      </c>
      <c r="N31" s="32">
        <v>2</v>
      </c>
      <c r="O31" s="234">
        <v>0.12500000040000001</v>
      </c>
      <c r="P31" s="39">
        <v>1</v>
      </c>
      <c r="Q31" s="234">
        <f t="shared" si="0"/>
        <v>0.12500000040000001</v>
      </c>
      <c r="R31" s="32">
        <f>VLOOKUP(A31,'Ansvar kurs'!$A$1:$C$399,2,FALSE)</f>
        <v>5730</v>
      </c>
      <c r="S31" s="32" t="str">
        <f>VLOOKUP(R31,Orgenheter!$A$1:$C$166,2,FALSE)</f>
        <v>Inst för MA och MA statistik</v>
      </c>
      <c r="T31" s="32" t="str">
        <f>VLOOKUP(R31,Orgenheter!$A$1:$C$166,3,FALSE)</f>
        <v>TekNat</v>
      </c>
      <c r="U31" s="37" t="str">
        <f>VLOOKUP(D31,Program!$A$1:$B$34,2,FALSE)</f>
        <v>VAL-projektet</v>
      </c>
      <c r="V31" s="41">
        <f>VLOOKUP(A31,kurspris!$A$1:$Q$225,15,FALSE)</f>
        <v>19863</v>
      </c>
      <c r="W31" s="41">
        <f>VLOOKUP(A31,kurspris!$A$1:$Q$225,16,FALSE)</f>
        <v>35472</v>
      </c>
      <c r="X31" s="41">
        <f t="shared" si="1"/>
        <v>6916.8750221340006</v>
      </c>
      <c r="Y31" s="41">
        <f>VLOOKUP(A31,kurspris!$A$1:$Q$225,17,FALSE)</f>
        <v>22200</v>
      </c>
      <c r="Z31" s="41">
        <f t="shared" si="2"/>
        <v>2775.0000088800002</v>
      </c>
      <c r="AA31" s="41">
        <f t="shared" si="3"/>
        <v>9691.8750310140003</v>
      </c>
      <c r="AB31" s="32">
        <f>VLOOKUP($A31,kurspris!$A$1:$Q$262,3,FALSE)</f>
        <v>0</v>
      </c>
      <c r="AC31" s="32">
        <f>VLOOKUP($A31,kurspris!$A$1:$Q$262,4,FALSE)</f>
        <v>0</v>
      </c>
      <c r="AD31" s="32">
        <f>VLOOKUP($A31,kurspris!$A$1:$Q$262,5,FALSE)</f>
        <v>0</v>
      </c>
      <c r="AE31" s="32">
        <f>VLOOKUP($A31,kurspris!$A$1:$Q$262,6,FALSE)</f>
        <v>0</v>
      </c>
      <c r="AF31" s="32">
        <f>VLOOKUP($A31,kurspris!$A$1:$Q$262,7,FALSE)</f>
        <v>0</v>
      </c>
      <c r="AG31" s="32">
        <f>VLOOKUP($A31,kurspris!$A$1:$Q$262,8,FALSE)</f>
        <v>0.5</v>
      </c>
      <c r="AH31" s="32">
        <f>VLOOKUP($A31,kurspris!$A$1:$Q$262,9,FALSE)</f>
        <v>0</v>
      </c>
      <c r="AI31" s="32">
        <f>VLOOKUP($A31,kurspris!$A$1:$Q$262,10,FALSE)</f>
        <v>0.5</v>
      </c>
      <c r="AJ31" s="32">
        <f>VLOOKUP($A31,kurspris!$A$1:$Q$262,11,FALSE)</f>
        <v>0</v>
      </c>
      <c r="AK31" s="32">
        <f>VLOOKUP($A31,kurspris!$A$1:$Q$262,12,FALSE)</f>
        <v>0</v>
      </c>
      <c r="AL31" s="32">
        <f>VLOOKUP($A31,kurspris!$A$1:$Q$262,13,FALSE)</f>
        <v>0</v>
      </c>
      <c r="AM31" s="32">
        <f>VLOOKUP($A31,kurspris!$A$1:$Q$262,14,FALSE)</f>
        <v>0</v>
      </c>
      <c r="AN31" s="38" t="s">
        <v>917</v>
      </c>
      <c r="AO31"/>
      <c r="AP31" s="32">
        <f t="shared" si="4"/>
        <v>0</v>
      </c>
      <c r="AQ31" s="234">
        <f t="shared" si="5"/>
        <v>0</v>
      </c>
      <c r="AR31" s="32">
        <f t="shared" si="6"/>
        <v>0</v>
      </c>
      <c r="AS31" s="234">
        <f t="shared" si="7"/>
        <v>0</v>
      </c>
      <c r="AT31" s="32">
        <f t="shared" si="8"/>
        <v>0</v>
      </c>
      <c r="AU31" s="32">
        <f t="shared" si="9"/>
        <v>0</v>
      </c>
      <c r="AV31" s="32">
        <f t="shared" si="10"/>
        <v>0</v>
      </c>
      <c r="AW31" s="234">
        <f t="shared" si="11"/>
        <v>0</v>
      </c>
      <c r="AX31" s="226">
        <f t="shared" si="12"/>
        <v>0</v>
      </c>
      <c r="AY31" s="234">
        <f t="shared" si="13"/>
        <v>0</v>
      </c>
      <c r="AZ31" s="32">
        <f t="shared" si="14"/>
        <v>6.2500000200000003E-2</v>
      </c>
      <c r="BA31" s="234">
        <f t="shared" si="15"/>
        <v>6.2500000200000003E-2</v>
      </c>
      <c r="BB31" s="32">
        <f t="shared" si="16"/>
        <v>0</v>
      </c>
      <c r="BC31" s="234">
        <f t="shared" si="17"/>
        <v>0</v>
      </c>
      <c r="BD31" s="32">
        <f t="shared" si="18"/>
        <v>6.2500000200000003E-2</v>
      </c>
      <c r="BE31" s="234">
        <f t="shared" si="19"/>
        <v>6.2500000200000003E-2</v>
      </c>
      <c r="BF31" s="32">
        <f t="shared" si="20"/>
        <v>0</v>
      </c>
      <c r="BG31" s="234">
        <f t="shared" si="21"/>
        <v>0</v>
      </c>
      <c r="BH31" s="32">
        <f t="shared" si="22"/>
        <v>0</v>
      </c>
      <c r="BI31" s="32">
        <f t="shared" si="23"/>
        <v>0</v>
      </c>
      <c r="BJ31" s="234">
        <f t="shared" si="24"/>
        <v>0</v>
      </c>
      <c r="BK31" s="32">
        <f t="shared" si="25"/>
        <v>0</v>
      </c>
      <c r="BL31" s="234">
        <f t="shared" si="26"/>
        <v>0</v>
      </c>
    </row>
    <row r="32" spans="1:64" ht="15" customHeight="1" x14ac:dyDescent="0.25">
      <c r="A32" s="221" t="s">
        <v>836</v>
      </c>
      <c r="B32" s="26" t="str">
        <f>VLOOKUP(A32,kurspris!$A$1:$B$304,2,FALSE)</f>
        <v>Examensarbete för ämneslärarexamen - Matematik</v>
      </c>
      <c r="C32" s="56"/>
      <c r="D32" s="59" t="s">
        <v>74</v>
      </c>
      <c r="E32" s="59"/>
      <c r="F32" s="56" t="s">
        <v>892</v>
      </c>
      <c r="G32" s="59"/>
      <c r="H32" s="59"/>
      <c r="J32" s="59"/>
      <c r="K32" s="37"/>
      <c r="L32" s="32">
        <v>100</v>
      </c>
      <c r="M32" s="32">
        <v>22.5</v>
      </c>
      <c r="N32" s="32">
        <v>1</v>
      </c>
      <c r="O32" s="234">
        <v>0.37500000119999999</v>
      </c>
      <c r="P32" s="39">
        <v>1</v>
      </c>
      <c r="Q32" s="234">
        <f t="shared" si="0"/>
        <v>0.37500000119999999</v>
      </c>
      <c r="R32" s="32">
        <f>VLOOKUP(A32,'Ansvar kurs'!$A$1:$C$399,2,FALSE)</f>
        <v>5740</v>
      </c>
      <c r="S32" s="32" t="str">
        <f>VLOOKUP(R32,Orgenheter!$A$1:$C$166,2,FALSE)</f>
        <v>NMD</v>
      </c>
      <c r="T32" s="32" t="str">
        <f>VLOOKUP(R32,Orgenheter!$A$1:$C$166,3,FALSE)</f>
        <v>TekNat</v>
      </c>
      <c r="U32" s="37" t="str">
        <f>VLOOKUP(D32,Program!$A$1:$B$34,2,FALSE)</f>
        <v>VAL-projektet</v>
      </c>
      <c r="V32" s="41">
        <f>VLOOKUP(A32,kurspris!$A$1:$Q$225,15,FALSE)</f>
        <v>19863</v>
      </c>
      <c r="W32" s="41">
        <f>VLOOKUP(A32,kurspris!$A$1:$Q$225,16,FALSE)</f>
        <v>35472</v>
      </c>
      <c r="X32" s="41">
        <f t="shared" si="1"/>
        <v>20750.625066402001</v>
      </c>
      <c r="Y32" s="41">
        <f>VLOOKUP(A32,kurspris!$A$1:$Q$225,17,FALSE)</f>
        <v>22200</v>
      </c>
      <c r="Z32" s="41">
        <f t="shared" si="2"/>
        <v>8325.0000266400002</v>
      </c>
      <c r="AA32" s="41">
        <f t="shared" si="3"/>
        <v>29075.625093041999</v>
      </c>
      <c r="AB32" s="32">
        <f>VLOOKUP($A32,kurspris!$A$1:$Q$262,3,FALSE)</f>
        <v>0</v>
      </c>
      <c r="AC32" s="32">
        <f>VLOOKUP($A32,kurspris!$A$1:$Q$262,4,FALSE)</f>
        <v>0</v>
      </c>
      <c r="AD32" s="32">
        <f>VLOOKUP($A32,kurspris!$A$1:$Q$262,5,FALSE)</f>
        <v>0</v>
      </c>
      <c r="AE32" s="32">
        <f>VLOOKUP($A32,kurspris!$A$1:$Q$262,6,FALSE)</f>
        <v>0</v>
      </c>
      <c r="AF32" s="32">
        <f>VLOOKUP($A32,kurspris!$A$1:$Q$262,7,FALSE)</f>
        <v>0</v>
      </c>
      <c r="AG32" s="32">
        <f>VLOOKUP($A32,kurspris!$A$1:$Q$262,8,FALSE)</f>
        <v>1</v>
      </c>
      <c r="AH32" s="32">
        <f>VLOOKUP($A32,kurspris!$A$1:$Q$262,9,FALSE)</f>
        <v>0</v>
      </c>
      <c r="AI32" s="32">
        <f>VLOOKUP($A32,kurspris!$A$1:$Q$262,10,FALSE)</f>
        <v>0</v>
      </c>
      <c r="AJ32" s="32">
        <f>VLOOKUP($A32,kurspris!$A$1:$Q$262,11,FALSE)</f>
        <v>0</v>
      </c>
      <c r="AK32" s="32">
        <f>VLOOKUP($A32,kurspris!$A$1:$Q$262,12,FALSE)</f>
        <v>0</v>
      </c>
      <c r="AL32" s="32">
        <f>VLOOKUP($A32,kurspris!$A$1:$Q$262,13,FALSE)</f>
        <v>0</v>
      </c>
      <c r="AM32" s="32">
        <f>VLOOKUP($A32,kurspris!$A$1:$Q$262,14,FALSE)</f>
        <v>0</v>
      </c>
      <c r="AN32" s="38" t="s">
        <v>917</v>
      </c>
      <c r="AO32"/>
      <c r="AP32" s="32">
        <f t="shared" si="4"/>
        <v>0</v>
      </c>
      <c r="AQ32" s="234">
        <f t="shared" si="5"/>
        <v>0</v>
      </c>
      <c r="AR32" s="32">
        <f t="shared" si="6"/>
        <v>0</v>
      </c>
      <c r="AS32" s="234">
        <f t="shared" si="7"/>
        <v>0</v>
      </c>
      <c r="AT32" s="32">
        <f t="shared" si="8"/>
        <v>0</v>
      </c>
      <c r="AU32" s="32">
        <f t="shared" si="9"/>
        <v>0</v>
      </c>
      <c r="AV32" s="32">
        <f t="shared" si="10"/>
        <v>0</v>
      </c>
      <c r="AW32" s="234">
        <f t="shared" si="11"/>
        <v>0</v>
      </c>
      <c r="AX32" s="226">
        <f t="shared" si="12"/>
        <v>0</v>
      </c>
      <c r="AY32" s="234">
        <f t="shared" si="13"/>
        <v>0</v>
      </c>
      <c r="AZ32" s="32">
        <f t="shared" si="14"/>
        <v>0.37500000119999999</v>
      </c>
      <c r="BA32" s="234">
        <f t="shared" si="15"/>
        <v>0.37500000119999999</v>
      </c>
      <c r="BB32" s="32">
        <f t="shared" si="16"/>
        <v>0</v>
      </c>
      <c r="BC32" s="234">
        <f t="shared" si="17"/>
        <v>0</v>
      </c>
      <c r="BD32" s="32">
        <f t="shared" si="18"/>
        <v>0</v>
      </c>
      <c r="BE32" s="234">
        <f t="shared" si="19"/>
        <v>0</v>
      </c>
      <c r="BF32" s="32">
        <f t="shared" si="20"/>
        <v>0</v>
      </c>
      <c r="BG32" s="234">
        <f t="shared" si="21"/>
        <v>0</v>
      </c>
      <c r="BH32" s="32">
        <f t="shared" si="22"/>
        <v>0</v>
      </c>
      <c r="BI32" s="32">
        <f t="shared" si="23"/>
        <v>0</v>
      </c>
      <c r="BJ32" s="234">
        <f t="shared" si="24"/>
        <v>0</v>
      </c>
      <c r="BK32" s="32">
        <f t="shared" si="25"/>
        <v>0</v>
      </c>
      <c r="BL32" s="234">
        <f t="shared" si="26"/>
        <v>0</v>
      </c>
    </row>
    <row r="33" spans="1:64" ht="15" customHeight="1" x14ac:dyDescent="0.25">
      <c r="A33" s="162" t="s">
        <v>620</v>
      </c>
      <c r="B33" s="26" t="str">
        <f>VLOOKUP(A33,kurspris!$A$1:$B$304,2,FALSE)</f>
        <v>Matematik 1 för lärande och undervisning för förskoleklass och grundskolans årskurs 1-6</v>
      </c>
      <c r="C33" s="351"/>
      <c r="D33" s="59" t="s">
        <v>74</v>
      </c>
      <c r="E33" s="59"/>
      <c r="F33" s="56" t="s">
        <v>892</v>
      </c>
      <c r="H33" s="59"/>
      <c r="K33" s="37"/>
      <c r="L33" s="32">
        <v>50</v>
      </c>
      <c r="M33" s="32">
        <v>15</v>
      </c>
      <c r="N33" s="32">
        <v>3</v>
      </c>
      <c r="O33" s="234">
        <v>0.75000000600000005</v>
      </c>
      <c r="P33" s="39">
        <v>1</v>
      </c>
      <c r="Q33" s="234">
        <f t="shared" si="0"/>
        <v>0.75000000600000005</v>
      </c>
      <c r="R33" s="32">
        <f>VLOOKUP(A33,'Ansvar kurs'!$A$1:$C$399,2,FALSE)</f>
        <v>5740</v>
      </c>
      <c r="S33" s="32" t="str">
        <f>VLOOKUP(R33,Orgenheter!$A$1:$C$166,2,FALSE)</f>
        <v>NMD</v>
      </c>
      <c r="T33" s="32" t="str">
        <f>VLOOKUP(R33,Orgenheter!$A$1:$C$166,3,FALSE)</f>
        <v>TekNat</v>
      </c>
      <c r="U33" s="37" t="str">
        <f>VLOOKUP(D33,Program!$A$1:$B$34,2,FALSE)</f>
        <v>VAL-projektet</v>
      </c>
      <c r="V33" s="41">
        <f>VLOOKUP(A33,kurspris!$A$1:$Q$225,15,FALSE)</f>
        <v>19863</v>
      </c>
      <c r="W33" s="41">
        <f>VLOOKUP(A33,kurspris!$A$1:$Q$225,16,FALSE)</f>
        <v>35472</v>
      </c>
      <c r="X33" s="41">
        <f t="shared" si="1"/>
        <v>41501.25033201</v>
      </c>
      <c r="Y33" s="41">
        <f>VLOOKUP(A33,kurspris!$A$1:$Q$225,17,FALSE)</f>
        <v>22200</v>
      </c>
      <c r="Z33" s="41">
        <f t="shared" si="2"/>
        <v>16650.000133200003</v>
      </c>
      <c r="AA33" s="41">
        <f t="shared" si="3"/>
        <v>58151.250465210003</v>
      </c>
      <c r="AB33" s="32">
        <f>VLOOKUP($A33,kurspris!$A$1:$Q$262,3,FALSE)</f>
        <v>0</v>
      </c>
      <c r="AC33" s="32">
        <f>VLOOKUP($A33,kurspris!$A$1:$Q$262,4,FALSE)</f>
        <v>0</v>
      </c>
      <c r="AD33" s="32">
        <f>VLOOKUP($A33,kurspris!$A$1:$Q$262,5,FALSE)</f>
        <v>0</v>
      </c>
      <c r="AE33" s="32">
        <f>VLOOKUP($A33,kurspris!$A$1:$Q$262,6,FALSE)</f>
        <v>0</v>
      </c>
      <c r="AF33" s="32">
        <f>VLOOKUP($A33,kurspris!$A$1:$Q$262,7,FALSE)</f>
        <v>0</v>
      </c>
      <c r="AG33" s="32">
        <f>VLOOKUP($A33,kurspris!$A$1:$Q$262,8,FALSE)</f>
        <v>1</v>
      </c>
      <c r="AH33" s="32">
        <f>VLOOKUP($A33,kurspris!$A$1:$Q$262,9,FALSE)</f>
        <v>0</v>
      </c>
      <c r="AI33" s="32">
        <f>VLOOKUP($A33,kurspris!$A$1:$Q$262,10,FALSE)</f>
        <v>0</v>
      </c>
      <c r="AJ33" s="32">
        <f>VLOOKUP($A33,kurspris!$A$1:$Q$262,11,FALSE)</f>
        <v>0</v>
      </c>
      <c r="AK33" s="32">
        <f>VLOOKUP($A33,kurspris!$A$1:$Q$262,12,FALSE)</f>
        <v>0</v>
      </c>
      <c r="AL33" s="32">
        <f>VLOOKUP($A33,kurspris!$A$1:$Q$262,13,FALSE)</f>
        <v>0</v>
      </c>
      <c r="AM33" s="32">
        <f>VLOOKUP($A33,kurspris!$A$1:$Q$262,14,FALSE)</f>
        <v>0</v>
      </c>
      <c r="AN33" s="38" t="s">
        <v>917</v>
      </c>
      <c r="AO33"/>
      <c r="AP33" s="32">
        <f t="shared" si="4"/>
        <v>0</v>
      </c>
      <c r="AQ33" s="234">
        <f t="shared" si="5"/>
        <v>0</v>
      </c>
      <c r="AR33" s="32">
        <f t="shared" si="6"/>
        <v>0</v>
      </c>
      <c r="AS33" s="234">
        <f t="shared" si="7"/>
        <v>0</v>
      </c>
      <c r="AT33" s="32">
        <f t="shared" si="8"/>
        <v>0</v>
      </c>
      <c r="AU33" s="32">
        <f t="shared" si="9"/>
        <v>0</v>
      </c>
      <c r="AV33" s="32">
        <f t="shared" si="10"/>
        <v>0</v>
      </c>
      <c r="AW33" s="234">
        <f t="shared" si="11"/>
        <v>0</v>
      </c>
      <c r="AX33" s="226">
        <f t="shared" si="12"/>
        <v>0</v>
      </c>
      <c r="AY33" s="234">
        <f t="shared" si="13"/>
        <v>0</v>
      </c>
      <c r="AZ33" s="32">
        <f t="shared" si="14"/>
        <v>0.75000000600000005</v>
      </c>
      <c r="BA33" s="234">
        <f t="shared" si="15"/>
        <v>0.75000000600000005</v>
      </c>
      <c r="BB33" s="32">
        <f t="shared" si="16"/>
        <v>0</v>
      </c>
      <c r="BC33" s="234">
        <f t="shared" si="17"/>
        <v>0</v>
      </c>
      <c r="BD33" s="32">
        <f t="shared" si="18"/>
        <v>0</v>
      </c>
      <c r="BE33" s="234">
        <f t="shared" si="19"/>
        <v>0</v>
      </c>
      <c r="BF33" s="32">
        <f t="shared" si="20"/>
        <v>0</v>
      </c>
      <c r="BG33" s="234">
        <f t="shared" si="21"/>
        <v>0</v>
      </c>
      <c r="BH33" s="32">
        <f t="shared" si="22"/>
        <v>0</v>
      </c>
      <c r="BI33" s="32">
        <f t="shared" si="23"/>
        <v>0</v>
      </c>
      <c r="BJ33" s="234">
        <f t="shared" si="24"/>
        <v>0</v>
      </c>
      <c r="BK33" s="32">
        <f t="shared" si="25"/>
        <v>0</v>
      </c>
      <c r="BL33" s="234">
        <f t="shared" si="26"/>
        <v>0</v>
      </c>
    </row>
    <row r="34" spans="1:64" ht="15" customHeight="1" x14ac:dyDescent="0.25">
      <c r="A34" s="221" t="s">
        <v>871</v>
      </c>
      <c r="B34" s="26" t="str">
        <f>VLOOKUP(A34,kurspris!$A$1:$B$304,2,FALSE)</f>
        <v>Matematikdidaktik 1 för grundskolans åk 7-9 och gymnasiet</v>
      </c>
      <c r="C34" s="56"/>
      <c r="D34" s="59" t="s">
        <v>74</v>
      </c>
      <c r="E34" s="59"/>
      <c r="F34" s="56" t="s">
        <v>892</v>
      </c>
      <c r="G34" s="59"/>
      <c r="H34" s="59"/>
      <c r="J34" s="59"/>
      <c r="K34" s="37"/>
      <c r="L34" s="32">
        <v>100</v>
      </c>
      <c r="M34" s="32">
        <v>7.5</v>
      </c>
      <c r="N34" s="32">
        <v>2</v>
      </c>
      <c r="O34" s="234">
        <v>0.25000000160000002</v>
      </c>
      <c r="P34" s="39">
        <v>1</v>
      </c>
      <c r="Q34" s="234">
        <f t="shared" ref="Q34:Q65" si="27">O34*P34</f>
        <v>0.25000000160000002</v>
      </c>
      <c r="R34" s="32">
        <f>VLOOKUP(A34,'Ansvar kurs'!$A$1:$C$399,2,FALSE)</f>
        <v>5740</v>
      </c>
      <c r="S34" s="32" t="str">
        <f>VLOOKUP(R34,Orgenheter!$A$1:$C$166,2,FALSE)</f>
        <v>NMD</v>
      </c>
      <c r="T34" s="32" t="str">
        <f>VLOOKUP(R34,Orgenheter!$A$1:$C$166,3,FALSE)</f>
        <v>TekNat</v>
      </c>
      <c r="U34" s="37" t="str">
        <f>VLOOKUP(D34,Program!$A$1:$B$34,2,FALSE)</f>
        <v>VAL-projektet</v>
      </c>
      <c r="V34" s="41">
        <f>VLOOKUP(A34,kurspris!$A$1:$Q$225,15,FALSE)</f>
        <v>19863</v>
      </c>
      <c r="W34" s="41">
        <f>VLOOKUP(A34,kurspris!$A$1:$Q$225,16,FALSE)</f>
        <v>35472</v>
      </c>
      <c r="X34" s="41">
        <f t="shared" ref="X34:X65" si="28">V34*O34+Q34*W34</f>
        <v>13833.750088536002</v>
      </c>
      <c r="Y34" s="41">
        <f>VLOOKUP(A34,kurspris!$A$1:$Q$225,17,FALSE)</f>
        <v>22200</v>
      </c>
      <c r="Z34" s="41">
        <f t="shared" ref="Z34:Z65" si="29">Y34*O34</f>
        <v>5550.0000355200009</v>
      </c>
      <c r="AA34" s="41">
        <f t="shared" ref="AA34:AA65" si="30">X34+Z34</f>
        <v>19383.750124056001</v>
      </c>
      <c r="AB34" s="32">
        <f>VLOOKUP($A34,kurspris!$A$1:$Q$262,3,FALSE)</f>
        <v>0</v>
      </c>
      <c r="AC34" s="32">
        <f>VLOOKUP($A34,kurspris!$A$1:$Q$262,4,FALSE)</f>
        <v>0</v>
      </c>
      <c r="AD34" s="32">
        <f>VLOOKUP($A34,kurspris!$A$1:$Q$262,5,FALSE)</f>
        <v>0</v>
      </c>
      <c r="AE34" s="32">
        <f>VLOOKUP($A34,kurspris!$A$1:$Q$262,6,FALSE)</f>
        <v>0</v>
      </c>
      <c r="AF34" s="32">
        <f>VLOOKUP($A34,kurspris!$A$1:$Q$262,7,FALSE)</f>
        <v>0</v>
      </c>
      <c r="AG34" s="32">
        <f>VLOOKUP($A34,kurspris!$A$1:$Q$262,8,FALSE)</f>
        <v>1</v>
      </c>
      <c r="AH34" s="32">
        <f>VLOOKUP($A34,kurspris!$A$1:$Q$262,9,FALSE)</f>
        <v>0</v>
      </c>
      <c r="AI34" s="32">
        <f>VLOOKUP($A34,kurspris!$A$1:$Q$262,10,FALSE)</f>
        <v>0</v>
      </c>
      <c r="AJ34" s="32">
        <f>VLOOKUP($A34,kurspris!$A$1:$Q$262,11,FALSE)</f>
        <v>0</v>
      </c>
      <c r="AK34" s="32">
        <f>VLOOKUP($A34,kurspris!$A$1:$Q$262,12,FALSE)</f>
        <v>0</v>
      </c>
      <c r="AL34" s="32">
        <f>VLOOKUP($A34,kurspris!$A$1:$Q$262,13,FALSE)</f>
        <v>0</v>
      </c>
      <c r="AM34" s="32">
        <f>VLOOKUP($A34,kurspris!$A$1:$Q$262,14,FALSE)</f>
        <v>0</v>
      </c>
      <c r="AN34" s="38" t="s">
        <v>917</v>
      </c>
      <c r="AO34"/>
      <c r="AP34" s="32">
        <f t="shared" ref="AP34:AP65" si="31">$O34*AB34</f>
        <v>0</v>
      </c>
      <c r="AQ34" s="234">
        <f t="shared" ref="AQ34:AQ65" si="32">$Q34*AB34</f>
        <v>0</v>
      </c>
      <c r="AR34" s="32">
        <f t="shared" ref="AR34:AR65" si="33">$O34*AC34</f>
        <v>0</v>
      </c>
      <c r="AS34" s="234">
        <f t="shared" ref="AS34:AS65" si="34">$Q34*AC34</f>
        <v>0</v>
      </c>
      <c r="AT34" s="32">
        <f t="shared" ref="AT34:AT65" si="35">$O34*AD34</f>
        <v>0</v>
      </c>
      <c r="AU34" s="32">
        <f t="shared" ref="AU34:AU65" si="36">$Q34*AD34</f>
        <v>0</v>
      </c>
      <c r="AV34" s="32">
        <f t="shared" ref="AV34:AV65" si="37">$O34*AE34</f>
        <v>0</v>
      </c>
      <c r="AW34" s="234">
        <f t="shared" ref="AW34:AW65" si="38">$Q34*AE34</f>
        <v>0</v>
      </c>
      <c r="AX34" s="226">
        <f t="shared" ref="AX34:AX65" si="39">$O34*AF34</f>
        <v>0</v>
      </c>
      <c r="AY34" s="234">
        <f t="shared" ref="AY34:AY65" si="40">$Q34*AF34</f>
        <v>0</v>
      </c>
      <c r="AZ34" s="32">
        <f t="shared" ref="AZ34:AZ65" si="41">$O34*AG34</f>
        <v>0.25000000160000002</v>
      </c>
      <c r="BA34" s="234">
        <f t="shared" ref="BA34:BA65" si="42">$Q34*AG34</f>
        <v>0.25000000160000002</v>
      </c>
      <c r="BB34" s="32">
        <f t="shared" ref="BB34:BB65" si="43">$O34*AH34</f>
        <v>0</v>
      </c>
      <c r="BC34" s="234">
        <f t="shared" ref="BC34:BC65" si="44">$Q34*AH34</f>
        <v>0</v>
      </c>
      <c r="BD34" s="32">
        <f t="shared" ref="BD34:BD65" si="45">$O34*AI34</f>
        <v>0</v>
      </c>
      <c r="BE34" s="234">
        <f t="shared" ref="BE34:BE65" si="46">$Q34*AI34</f>
        <v>0</v>
      </c>
      <c r="BF34" s="32">
        <f t="shared" ref="BF34:BF65" si="47">$O34*AJ34</f>
        <v>0</v>
      </c>
      <c r="BG34" s="234">
        <f t="shared" ref="BG34:BG65" si="48">$Q34*AJ34</f>
        <v>0</v>
      </c>
      <c r="BH34" s="32">
        <f t="shared" ref="BH34:BH65" si="49">$O34*AK34</f>
        <v>0</v>
      </c>
      <c r="BI34" s="32">
        <f t="shared" ref="BI34:BI65" si="50">$O34*AL34</f>
        <v>0</v>
      </c>
      <c r="BJ34" s="234">
        <f t="shared" ref="BJ34:BJ65" si="51">$Q34*AL34</f>
        <v>0</v>
      </c>
      <c r="BK34" s="32">
        <f t="shared" ref="BK34:BK65" si="52">$O34*AM34</f>
        <v>0</v>
      </c>
      <c r="BL34" s="234">
        <f t="shared" ref="BL34:BL65" si="53">$Q34*AM34</f>
        <v>0</v>
      </c>
    </row>
    <row r="35" spans="1:64" ht="15" customHeight="1" x14ac:dyDescent="0.25">
      <c r="A35" s="221" t="s">
        <v>837</v>
      </c>
      <c r="B35" s="26" t="str">
        <f>VLOOKUP(A35,kurspris!$A$1:$B$304,2,FALSE)</f>
        <v>Musik 1, distans</v>
      </c>
      <c r="C35" s="56"/>
      <c r="D35" s="32" t="s">
        <v>74</v>
      </c>
      <c r="E35" s="59"/>
      <c r="F35" s="56" t="s">
        <v>892</v>
      </c>
      <c r="G35" s="59"/>
      <c r="H35" s="59"/>
      <c r="K35" s="37"/>
      <c r="L35" s="32">
        <v>50</v>
      </c>
      <c r="M35" s="32">
        <v>15</v>
      </c>
      <c r="N35" s="32">
        <v>3</v>
      </c>
      <c r="O35" s="234">
        <v>0.75000000600000005</v>
      </c>
      <c r="P35" s="39">
        <v>1</v>
      </c>
      <c r="Q35" s="234">
        <f t="shared" si="27"/>
        <v>0.75000000600000005</v>
      </c>
      <c r="R35" s="32">
        <f>VLOOKUP(A35,'Ansvar kurs'!$A$1:$C$399,2,FALSE)</f>
        <v>1650</v>
      </c>
      <c r="S35" s="32" t="str">
        <f>VLOOKUP(R35,Orgenheter!$A$1:$C$166,2,FALSE)</f>
        <v xml:space="preserve">Estetiska ämnen               </v>
      </c>
      <c r="T35" s="32" t="str">
        <f>VLOOKUP(R35,Orgenheter!$A$1:$C$166,3,FALSE)</f>
        <v>Hum</v>
      </c>
      <c r="U35" s="37" t="str">
        <f>VLOOKUP(D35,Program!$A$1:$B$34,2,FALSE)</f>
        <v>VAL-projektet</v>
      </c>
      <c r="V35" s="41">
        <f>VLOOKUP(A35,kurspris!$A$1:$Q$225,15,FALSE)</f>
        <v>31433</v>
      </c>
      <c r="W35" s="41">
        <f>VLOOKUP(A35,kurspris!$A$1:$Q$225,16,FALSE)</f>
        <v>65018</v>
      </c>
      <c r="X35" s="41">
        <f t="shared" si="28"/>
        <v>72338.250578706007</v>
      </c>
      <c r="Y35" s="41">
        <f>VLOOKUP(A35,kurspris!$A$1:$Q$225,17,FALSE)</f>
        <v>71400</v>
      </c>
      <c r="Z35" s="41">
        <f t="shared" si="29"/>
        <v>53550.000428400002</v>
      </c>
      <c r="AA35" s="41">
        <f t="shared" si="30"/>
        <v>125888.25100710601</v>
      </c>
      <c r="AB35" s="32">
        <f>VLOOKUP($A35,kurspris!$A$1:$Q$262,3,FALSE)</f>
        <v>0</v>
      </c>
      <c r="AC35" s="32">
        <f>VLOOKUP($A35,kurspris!$A$1:$Q$262,4,FALSE)</f>
        <v>0</v>
      </c>
      <c r="AD35" s="32">
        <f>VLOOKUP($A35,kurspris!$A$1:$Q$262,5,FALSE)</f>
        <v>0</v>
      </c>
      <c r="AE35" s="32">
        <f>VLOOKUP($A35,kurspris!$A$1:$Q$262,6,FALSE)</f>
        <v>0</v>
      </c>
      <c r="AF35" s="32">
        <f>VLOOKUP($A35,kurspris!$A$1:$Q$262,7,FALSE)</f>
        <v>1</v>
      </c>
      <c r="AG35" s="32">
        <f>VLOOKUP($A35,kurspris!$A$1:$Q$262,8,FALSE)</f>
        <v>0</v>
      </c>
      <c r="AH35" s="32">
        <f>VLOOKUP($A35,kurspris!$A$1:$Q$262,9,FALSE)</f>
        <v>0</v>
      </c>
      <c r="AI35" s="32">
        <f>VLOOKUP($A35,kurspris!$A$1:$Q$262,10,FALSE)</f>
        <v>0</v>
      </c>
      <c r="AJ35" s="32">
        <f>VLOOKUP($A35,kurspris!$A$1:$Q$262,11,FALSE)</f>
        <v>0</v>
      </c>
      <c r="AK35" s="32">
        <f>VLOOKUP($A35,kurspris!$A$1:$Q$262,12,FALSE)</f>
        <v>0</v>
      </c>
      <c r="AL35" s="32">
        <f>VLOOKUP($A35,kurspris!$A$1:$Q$262,13,FALSE)</f>
        <v>0</v>
      </c>
      <c r="AM35" s="32">
        <f>VLOOKUP($A35,kurspris!$A$1:$Q$262,14,FALSE)</f>
        <v>0</v>
      </c>
      <c r="AN35" s="38" t="s">
        <v>917</v>
      </c>
      <c r="AO35"/>
      <c r="AP35" s="32">
        <f t="shared" si="31"/>
        <v>0</v>
      </c>
      <c r="AQ35" s="234">
        <f t="shared" si="32"/>
        <v>0</v>
      </c>
      <c r="AR35" s="32">
        <f t="shared" si="33"/>
        <v>0</v>
      </c>
      <c r="AS35" s="234">
        <f t="shared" si="34"/>
        <v>0</v>
      </c>
      <c r="AT35" s="32">
        <f t="shared" si="35"/>
        <v>0</v>
      </c>
      <c r="AU35" s="32">
        <f t="shared" si="36"/>
        <v>0</v>
      </c>
      <c r="AV35" s="32">
        <f t="shared" si="37"/>
        <v>0</v>
      </c>
      <c r="AW35" s="234">
        <f t="shared" si="38"/>
        <v>0</v>
      </c>
      <c r="AX35" s="226">
        <f t="shared" si="39"/>
        <v>0.75000000600000005</v>
      </c>
      <c r="AY35" s="234">
        <f t="shared" si="40"/>
        <v>0.75000000600000005</v>
      </c>
      <c r="AZ35" s="32">
        <f t="shared" si="41"/>
        <v>0</v>
      </c>
      <c r="BA35" s="234">
        <f t="shared" si="42"/>
        <v>0</v>
      </c>
      <c r="BB35" s="32">
        <f t="shared" si="43"/>
        <v>0</v>
      </c>
      <c r="BC35" s="234">
        <f t="shared" si="44"/>
        <v>0</v>
      </c>
      <c r="BD35" s="32">
        <f t="shared" si="45"/>
        <v>0</v>
      </c>
      <c r="BE35" s="234">
        <f t="shared" si="46"/>
        <v>0</v>
      </c>
      <c r="BF35" s="32">
        <f t="shared" si="47"/>
        <v>0</v>
      </c>
      <c r="BG35" s="234">
        <f t="shared" si="48"/>
        <v>0</v>
      </c>
      <c r="BH35" s="32">
        <f t="shared" si="49"/>
        <v>0</v>
      </c>
      <c r="BI35" s="32">
        <f t="shared" si="50"/>
        <v>0</v>
      </c>
      <c r="BJ35" s="234">
        <f t="shared" si="51"/>
        <v>0</v>
      </c>
      <c r="BK35" s="32">
        <f t="shared" si="52"/>
        <v>0</v>
      </c>
      <c r="BL35" s="234">
        <f t="shared" si="53"/>
        <v>0</v>
      </c>
    </row>
    <row r="36" spans="1:64" ht="15" customHeight="1" x14ac:dyDescent="0.25">
      <c r="A36" s="221" t="s">
        <v>837</v>
      </c>
      <c r="B36" s="26" t="str">
        <f>VLOOKUP(A36,kurspris!$A$1:$B$304,2,FALSE)</f>
        <v>Musik 1, distans</v>
      </c>
      <c r="C36" s="56"/>
      <c r="D36" s="56" t="s">
        <v>90</v>
      </c>
      <c r="E36" s="59"/>
      <c r="F36" s="56" t="s">
        <v>892</v>
      </c>
      <c r="G36" s="59"/>
      <c r="H36" s="59"/>
      <c r="K36" s="37"/>
      <c r="L36" s="32">
        <v>50</v>
      </c>
      <c r="M36" s="32">
        <v>15</v>
      </c>
      <c r="N36" s="32">
        <v>1</v>
      </c>
      <c r="O36" s="234">
        <v>0.250000002</v>
      </c>
      <c r="P36" s="39">
        <v>1</v>
      </c>
      <c r="Q36" s="234">
        <f t="shared" si="27"/>
        <v>0.250000002</v>
      </c>
      <c r="R36" s="32">
        <f>VLOOKUP(A36,'Ansvar kurs'!$A$1:$C$399,2,FALSE)</f>
        <v>1650</v>
      </c>
      <c r="S36" s="32" t="str">
        <f>VLOOKUP(R36,Orgenheter!$A$1:$C$166,2,FALSE)</f>
        <v xml:space="preserve">Estetiska ämnen               </v>
      </c>
      <c r="T36" s="32" t="str">
        <f>VLOOKUP(R36,Orgenheter!$A$1:$C$166,3,FALSE)</f>
        <v>Hum</v>
      </c>
      <c r="U36" s="37" t="str">
        <f>VLOOKUP(D36,Program!$A$1:$B$34,2,FALSE)</f>
        <v>Fristående och övriga kurser</v>
      </c>
      <c r="V36" s="41">
        <f>VLOOKUP(A36,kurspris!$A$1:$Q$225,15,FALSE)</f>
        <v>31433</v>
      </c>
      <c r="W36" s="41">
        <f>VLOOKUP(A36,kurspris!$A$1:$Q$225,16,FALSE)</f>
        <v>65018</v>
      </c>
      <c r="X36" s="41">
        <f t="shared" si="28"/>
        <v>24112.750192902</v>
      </c>
      <c r="Y36" s="41">
        <f>VLOOKUP(A36,kurspris!$A$1:$Q$225,17,FALSE)</f>
        <v>71400</v>
      </c>
      <c r="Z36" s="41">
        <f t="shared" si="29"/>
        <v>17850.0001428</v>
      </c>
      <c r="AA36" s="41">
        <f t="shared" si="30"/>
        <v>41962.750335702003</v>
      </c>
      <c r="AB36" s="32">
        <f>VLOOKUP($A36,kurspris!$A$1:$Q$262,3,FALSE)</f>
        <v>0</v>
      </c>
      <c r="AC36" s="32">
        <f>VLOOKUP($A36,kurspris!$A$1:$Q$262,4,FALSE)</f>
        <v>0</v>
      </c>
      <c r="AD36" s="32">
        <f>VLOOKUP($A36,kurspris!$A$1:$Q$262,5,FALSE)</f>
        <v>0</v>
      </c>
      <c r="AE36" s="32">
        <f>VLOOKUP($A36,kurspris!$A$1:$Q$262,6,FALSE)</f>
        <v>0</v>
      </c>
      <c r="AF36" s="32">
        <f>VLOOKUP($A36,kurspris!$A$1:$Q$262,7,FALSE)</f>
        <v>1</v>
      </c>
      <c r="AG36" s="32">
        <f>VLOOKUP($A36,kurspris!$A$1:$Q$262,8,FALSE)</f>
        <v>0</v>
      </c>
      <c r="AH36" s="32">
        <f>VLOOKUP($A36,kurspris!$A$1:$Q$262,9,FALSE)</f>
        <v>0</v>
      </c>
      <c r="AI36" s="32">
        <f>VLOOKUP($A36,kurspris!$A$1:$Q$262,10,FALSE)</f>
        <v>0</v>
      </c>
      <c r="AJ36" s="32">
        <f>VLOOKUP($A36,kurspris!$A$1:$Q$262,11,FALSE)</f>
        <v>0</v>
      </c>
      <c r="AK36" s="32">
        <f>VLOOKUP($A36,kurspris!$A$1:$Q$262,12,FALSE)</f>
        <v>0</v>
      </c>
      <c r="AL36" s="32">
        <f>VLOOKUP($A36,kurspris!$A$1:$Q$262,13,FALSE)</f>
        <v>0</v>
      </c>
      <c r="AM36" s="32">
        <f>VLOOKUP($A36,kurspris!$A$1:$Q$262,14,FALSE)</f>
        <v>0</v>
      </c>
      <c r="AN36" s="38" t="s">
        <v>917</v>
      </c>
      <c r="AO36"/>
      <c r="AP36" s="32">
        <f t="shared" si="31"/>
        <v>0</v>
      </c>
      <c r="AQ36" s="234">
        <f t="shared" si="32"/>
        <v>0</v>
      </c>
      <c r="AR36" s="32">
        <f t="shared" si="33"/>
        <v>0</v>
      </c>
      <c r="AS36" s="234">
        <f t="shared" si="34"/>
        <v>0</v>
      </c>
      <c r="AT36" s="32">
        <f t="shared" si="35"/>
        <v>0</v>
      </c>
      <c r="AU36" s="32">
        <f t="shared" si="36"/>
        <v>0</v>
      </c>
      <c r="AV36" s="32">
        <f t="shared" si="37"/>
        <v>0</v>
      </c>
      <c r="AW36" s="234">
        <f t="shared" si="38"/>
        <v>0</v>
      </c>
      <c r="AX36" s="226">
        <f t="shared" si="39"/>
        <v>0.250000002</v>
      </c>
      <c r="AY36" s="234">
        <f t="shared" si="40"/>
        <v>0.250000002</v>
      </c>
      <c r="AZ36" s="32">
        <f t="shared" si="41"/>
        <v>0</v>
      </c>
      <c r="BA36" s="234">
        <f t="shared" si="42"/>
        <v>0</v>
      </c>
      <c r="BB36" s="32">
        <f t="shared" si="43"/>
        <v>0</v>
      </c>
      <c r="BC36" s="234">
        <f t="shared" si="44"/>
        <v>0</v>
      </c>
      <c r="BD36" s="32">
        <f t="shared" si="45"/>
        <v>0</v>
      </c>
      <c r="BE36" s="234">
        <f t="shared" si="46"/>
        <v>0</v>
      </c>
      <c r="BF36" s="32">
        <f t="shared" si="47"/>
        <v>0</v>
      </c>
      <c r="BG36" s="234">
        <f t="shared" si="48"/>
        <v>0</v>
      </c>
      <c r="BH36" s="32">
        <f t="shared" si="49"/>
        <v>0</v>
      </c>
      <c r="BI36" s="32">
        <f t="shared" si="50"/>
        <v>0</v>
      </c>
      <c r="BJ36" s="234">
        <f t="shared" si="51"/>
        <v>0</v>
      </c>
      <c r="BK36" s="32">
        <f t="shared" si="52"/>
        <v>0</v>
      </c>
      <c r="BL36" s="234">
        <f t="shared" si="53"/>
        <v>0</v>
      </c>
    </row>
    <row r="37" spans="1:64" ht="15" customHeight="1" x14ac:dyDescent="0.25">
      <c r="A37" s="221" t="s">
        <v>816</v>
      </c>
      <c r="B37" s="26" t="str">
        <f>VLOOKUP(A37,kurspris!$A$1:$B$304,2,FALSE)</f>
        <v>Musik 2, distans</v>
      </c>
      <c r="C37" s="56"/>
      <c r="D37" s="32" t="s">
        <v>74</v>
      </c>
      <c r="E37" s="59"/>
      <c r="F37" s="56" t="s">
        <v>892</v>
      </c>
      <c r="G37" s="59"/>
      <c r="H37" s="59"/>
      <c r="K37" s="37"/>
      <c r="L37" s="32">
        <v>50</v>
      </c>
      <c r="M37" s="32">
        <v>15</v>
      </c>
      <c r="N37" s="32">
        <v>5</v>
      </c>
      <c r="O37" s="234">
        <v>1.2500000099999999</v>
      </c>
      <c r="P37" s="39">
        <v>1</v>
      </c>
      <c r="Q37" s="234">
        <f t="shared" si="27"/>
        <v>1.2500000099999999</v>
      </c>
      <c r="R37" s="32">
        <f>VLOOKUP(A37,'Ansvar kurs'!$A$1:$C$399,2,FALSE)</f>
        <v>1650</v>
      </c>
      <c r="S37" s="32" t="str">
        <f>VLOOKUP(R37,Orgenheter!$A$1:$C$166,2,FALSE)</f>
        <v xml:space="preserve">Estetiska ämnen               </v>
      </c>
      <c r="T37" s="32" t="str">
        <f>VLOOKUP(R37,Orgenheter!$A$1:$C$166,3,FALSE)</f>
        <v>Hum</v>
      </c>
      <c r="U37" s="37" t="str">
        <f>VLOOKUP(D37,Program!$A$1:$B$34,2,FALSE)</f>
        <v>VAL-projektet</v>
      </c>
      <c r="V37" s="41">
        <f>VLOOKUP(A37,kurspris!$A$1:$Q$225,15,FALSE)</f>
        <v>31433</v>
      </c>
      <c r="W37" s="41">
        <f>VLOOKUP(A37,kurspris!$A$1:$Q$225,16,FALSE)</f>
        <v>65018</v>
      </c>
      <c r="X37" s="41">
        <f t="shared" si="28"/>
        <v>120563.75096450999</v>
      </c>
      <c r="Y37" s="41">
        <f>VLOOKUP(A37,kurspris!$A$1:$Q$225,17,FALSE)</f>
        <v>71400</v>
      </c>
      <c r="Z37" s="41">
        <f t="shared" si="29"/>
        <v>89250.000713999994</v>
      </c>
      <c r="AA37" s="41">
        <f t="shared" si="30"/>
        <v>209813.75167850999</v>
      </c>
      <c r="AB37" s="32">
        <f>VLOOKUP($A37,kurspris!$A$1:$Q$262,3,FALSE)</f>
        <v>0</v>
      </c>
      <c r="AC37" s="32">
        <f>VLOOKUP($A37,kurspris!$A$1:$Q$262,4,FALSE)</f>
        <v>0</v>
      </c>
      <c r="AD37" s="32">
        <f>VLOOKUP($A37,kurspris!$A$1:$Q$262,5,FALSE)</f>
        <v>0</v>
      </c>
      <c r="AE37" s="32">
        <f>VLOOKUP($A37,kurspris!$A$1:$Q$262,6,FALSE)</f>
        <v>0</v>
      </c>
      <c r="AF37" s="32">
        <f>VLOOKUP($A37,kurspris!$A$1:$Q$262,7,FALSE)</f>
        <v>1</v>
      </c>
      <c r="AG37" s="32">
        <f>VLOOKUP($A37,kurspris!$A$1:$Q$262,8,FALSE)</f>
        <v>0</v>
      </c>
      <c r="AH37" s="32">
        <f>VLOOKUP($A37,kurspris!$A$1:$Q$262,9,FALSE)</f>
        <v>0</v>
      </c>
      <c r="AI37" s="32">
        <f>VLOOKUP($A37,kurspris!$A$1:$Q$262,10,FALSE)</f>
        <v>0</v>
      </c>
      <c r="AJ37" s="32">
        <f>VLOOKUP($A37,kurspris!$A$1:$Q$262,11,FALSE)</f>
        <v>0</v>
      </c>
      <c r="AK37" s="32">
        <f>VLOOKUP($A37,kurspris!$A$1:$Q$262,12,FALSE)</f>
        <v>0</v>
      </c>
      <c r="AL37" s="32">
        <f>VLOOKUP($A37,kurspris!$A$1:$Q$262,13,FALSE)</f>
        <v>0</v>
      </c>
      <c r="AM37" s="32">
        <f>VLOOKUP($A37,kurspris!$A$1:$Q$262,14,FALSE)</f>
        <v>0</v>
      </c>
      <c r="AN37" s="38" t="s">
        <v>917</v>
      </c>
      <c r="AP37" s="32">
        <f t="shared" si="31"/>
        <v>0</v>
      </c>
      <c r="AQ37" s="234">
        <f t="shared" si="32"/>
        <v>0</v>
      </c>
      <c r="AR37" s="32">
        <f t="shared" si="33"/>
        <v>0</v>
      </c>
      <c r="AS37" s="234">
        <f t="shared" si="34"/>
        <v>0</v>
      </c>
      <c r="AT37" s="32">
        <f t="shared" si="35"/>
        <v>0</v>
      </c>
      <c r="AU37" s="32">
        <f t="shared" si="36"/>
        <v>0</v>
      </c>
      <c r="AV37" s="32">
        <f t="shared" si="37"/>
        <v>0</v>
      </c>
      <c r="AW37" s="234">
        <f t="shared" si="38"/>
        <v>0</v>
      </c>
      <c r="AX37" s="226">
        <f t="shared" si="39"/>
        <v>1.2500000099999999</v>
      </c>
      <c r="AY37" s="234">
        <f t="shared" si="40"/>
        <v>1.2500000099999999</v>
      </c>
      <c r="AZ37" s="32">
        <f t="shared" si="41"/>
        <v>0</v>
      </c>
      <c r="BA37" s="234">
        <f t="shared" si="42"/>
        <v>0</v>
      </c>
      <c r="BB37" s="32">
        <f t="shared" si="43"/>
        <v>0</v>
      </c>
      <c r="BC37" s="234">
        <f t="shared" si="44"/>
        <v>0</v>
      </c>
      <c r="BD37" s="32">
        <f t="shared" si="45"/>
        <v>0</v>
      </c>
      <c r="BE37" s="234">
        <f t="shared" si="46"/>
        <v>0</v>
      </c>
      <c r="BF37" s="32">
        <f t="shared" si="47"/>
        <v>0</v>
      </c>
      <c r="BG37" s="234">
        <f t="shared" si="48"/>
        <v>0</v>
      </c>
      <c r="BH37" s="32">
        <f t="shared" si="49"/>
        <v>0</v>
      </c>
      <c r="BI37" s="32">
        <f t="shared" si="50"/>
        <v>0</v>
      </c>
      <c r="BJ37" s="234">
        <f t="shared" si="51"/>
        <v>0</v>
      </c>
      <c r="BK37" s="32">
        <f t="shared" si="52"/>
        <v>0</v>
      </c>
      <c r="BL37" s="234">
        <f t="shared" si="53"/>
        <v>0</v>
      </c>
    </row>
    <row r="38" spans="1:64" ht="15" customHeight="1" x14ac:dyDescent="0.25">
      <c r="A38" s="221" t="s">
        <v>816</v>
      </c>
      <c r="B38" s="26" t="str">
        <f>VLOOKUP(A38,kurspris!$A$1:$B$304,2,FALSE)</f>
        <v>Musik 2, distans</v>
      </c>
      <c r="C38" s="56"/>
      <c r="D38" s="56" t="s">
        <v>90</v>
      </c>
      <c r="E38" s="59"/>
      <c r="F38" s="56" t="s">
        <v>892</v>
      </c>
      <c r="G38" s="59"/>
      <c r="H38" s="59"/>
      <c r="K38" s="37"/>
      <c r="L38" s="32">
        <v>50</v>
      </c>
      <c r="M38" s="32">
        <v>15</v>
      </c>
      <c r="N38" s="32">
        <v>3</v>
      </c>
      <c r="O38" s="234">
        <v>0.75000000600000005</v>
      </c>
      <c r="P38" s="39">
        <v>1</v>
      </c>
      <c r="Q38" s="234">
        <f t="shared" si="27"/>
        <v>0.75000000600000005</v>
      </c>
      <c r="R38" s="32">
        <f>VLOOKUP(A38,'Ansvar kurs'!$A$1:$C$399,2,FALSE)</f>
        <v>1650</v>
      </c>
      <c r="S38" s="32" t="str">
        <f>VLOOKUP(R38,Orgenheter!$A$1:$C$166,2,FALSE)</f>
        <v xml:space="preserve">Estetiska ämnen               </v>
      </c>
      <c r="T38" s="32" t="str">
        <f>VLOOKUP(R38,Orgenheter!$A$1:$C$166,3,FALSE)</f>
        <v>Hum</v>
      </c>
      <c r="U38" s="37" t="str">
        <f>VLOOKUP(D38,Program!$A$1:$B$34,2,FALSE)</f>
        <v>Fristående och övriga kurser</v>
      </c>
      <c r="V38" s="41">
        <f>VLOOKUP(A38,kurspris!$A$1:$Q$225,15,FALSE)</f>
        <v>31433</v>
      </c>
      <c r="W38" s="41">
        <f>VLOOKUP(A38,kurspris!$A$1:$Q$225,16,FALSE)</f>
        <v>65018</v>
      </c>
      <c r="X38" s="41">
        <f t="shared" si="28"/>
        <v>72338.250578706007</v>
      </c>
      <c r="Y38" s="41">
        <f>VLOOKUP(A38,kurspris!$A$1:$Q$225,17,FALSE)</f>
        <v>71400</v>
      </c>
      <c r="Z38" s="41">
        <f t="shared" si="29"/>
        <v>53550.000428400002</v>
      </c>
      <c r="AA38" s="41">
        <f t="shared" si="30"/>
        <v>125888.25100710601</v>
      </c>
      <c r="AB38" s="32">
        <f>VLOOKUP($A38,kurspris!$A$1:$Q$262,3,FALSE)</f>
        <v>0</v>
      </c>
      <c r="AC38" s="32">
        <f>VLOOKUP($A38,kurspris!$A$1:$Q$262,4,FALSE)</f>
        <v>0</v>
      </c>
      <c r="AD38" s="32">
        <f>VLOOKUP($A38,kurspris!$A$1:$Q$262,5,FALSE)</f>
        <v>0</v>
      </c>
      <c r="AE38" s="32">
        <f>VLOOKUP($A38,kurspris!$A$1:$Q$262,6,FALSE)</f>
        <v>0</v>
      </c>
      <c r="AF38" s="32">
        <f>VLOOKUP($A38,kurspris!$A$1:$Q$262,7,FALSE)</f>
        <v>1</v>
      </c>
      <c r="AG38" s="32">
        <f>VLOOKUP($A38,kurspris!$A$1:$Q$262,8,FALSE)</f>
        <v>0</v>
      </c>
      <c r="AH38" s="32">
        <f>VLOOKUP($A38,kurspris!$A$1:$Q$262,9,FALSE)</f>
        <v>0</v>
      </c>
      <c r="AI38" s="32">
        <f>VLOOKUP($A38,kurspris!$A$1:$Q$262,10,FALSE)</f>
        <v>0</v>
      </c>
      <c r="AJ38" s="32">
        <f>VLOOKUP($A38,kurspris!$A$1:$Q$262,11,FALSE)</f>
        <v>0</v>
      </c>
      <c r="AK38" s="32">
        <f>VLOOKUP($A38,kurspris!$A$1:$Q$262,12,FALSE)</f>
        <v>0</v>
      </c>
      <c r="AL38" s="32">
        <f>VLOOKUP($A38,kurspris!$A$1:$Q$262,13,FALSE)</f>
        <v>0</v>
      </c>
      <c r="AM38" s="32">
        <f>VLOOKUP($A38,kurspris!$A$1:$Q$262,14,FALSE)</f>
        <v>0</v>
      </c>
      <c r="AN38" s="38" t="s">
        <v>917</v>
      </c>
      <c r="AO38"/>
      <c r="AP38" s="32">
        <f t="shared" si="31"/>
        <v>0</v>
      </c>
      <c r="AQ38" s="234">
        <f t="shared" si="32"/>
        <v>0</v>
      </c>
      <c r="AR38" s="32">
        <f t="shared" si="33"/>
        <v>0</v>
      </c>
      <c r="AS38" s="234">
        <f t="shared" si="34"/>
        <v>0</v>
      </c>
      <c r="AT38" s="32">
        <f t="shared" si="35"/>
        <v>0</v>
      </c>
      <c r="AU38" s="32">
        <f t="shared" si="36"/>
        <v>0</v>
      </c>
      <c r="AV38" s="32">
        <f t="shared" si="37"/>
        <v>0</v>
      </c>
      <c r="AW38" s="234">
        <f t="shared" si="38"/>
        <v>0</v>
      </c>
      <c r="AX38" s="226">
        <f t="shared" si="39"/>
        <v>0.75000000600000005</v>
      </c>
      <c r="AY38" s="234">
        <f t="shared" si="40"/>
        <v>0.75000000600000005</v>
      </c>
      <c r="AZ38" s="32">
        <f t="shared" si="41"/>
        <v>0</v>
      </c>
      <c r="BA38" s="234">
        <f t="shared" si="42"/>
        <v>0</v>
      </c>
      <c r="BB38" s="32">
        <f t="shared" si="43"/>
        <v>0</v>
      </c>
      <c r="BC38" s="234">
        <f t="shared" si="44"/>
        <v>0</v>
      </c>
      <c r="BD38" s="32">
        <f t="shared" si="45"/>
        <v>0</v>
      </c>
      <c r="BE38" s="234">
        <f t="shared" si="46"/>
        <v>0</v>
      </c>
      <c r="BF38" s="32">
        <f t="shared" si="47"/>
        <v>0</v>
      </c>
      <c r="BG38" s="234">
        <f t="shared" si="48"/>
        <v>0</v>
      </c>
      <c r="BH38" s="32">
        <f t="shared" si="49"/>
        <v>0</v>
      </c>
      <c r="BI38" s="32">
        <f t="shared" si="50"/>
        <v>0</v>
      </c>
      <c r="BJ38" s="234">
        <f t="shared" si="51"/>
        <v>0</v>
      </c>
      <c r="BK38" s="32">
        <f t="shared" si="52"/>
        <v>0</v>
      </c>
      <c r="BL38" s="234">
        <f t="shared" si="53"/>
        <v>0</v>
      </c>
    </row>
    <row r="39" spans="1:64" ht="15" customHeight="1" x14ac:dyDescent="0.25">
      <c r="A39" s="221" t="s">
        <v>817</v>
      </c>
      <c r="B39" s="26" t="str">
        <f>VLOOKUP(A39,kurspris!$A$1:$B$304,2,FALSE)</f>
        <v>Musik 3, distans</v>
      </c>
      <c r="C39" s="56"/>
      <c r="D39" s="32" t="s">
        <v>74</v>
      </c>
      <c r="E39" s="59"/>
      <c r="F39" s="56" t="s">
        <v>892</v>
      </c>
      <c r="G39" s="59"/>
      <c r="H39" s="59"/>
      <c r="K39" s="37"/>
      <c r="L39" s="32">
        <v>50</v>
      </c>
      <c r="M39" s="32">
        <v>15</v>
      </c>
      <c r="N39" s="32">
        <v>1</v>
      </c>
      <c r="O39" s="234">
        <v>0.250000002</v>
      </c>
      <c r="P39" s="39">
        <v>1</v>
      </c>
      <c r="Q39" s="234">
        <f t="shared" si="27"/>
        <v>0.250000002</v>
      </c>
      <c r="R39" s="32">
        <f>VLOOKUP(A39,'Ansvar kurs'!$A$1:$C$399,2,FALSE)</f>
        <v>1650</v>
      </c>
      <c r="S39" s="32" t="str">
        <f>VLOOKUP(R39,Orgenheter!$A$1:$C$166,2,FALSE)</f>
        <v xml:space="preserve">Estetiska ämnen               </v>
      </c>
      <c r="T39" s="32" t="str">
        <f>VLOOKUP(R39,Orgenheter!$A$1:$C$166,3,FALSE)</f>
        <v>Hum</v>
      </c>
      <c r="U39" s="37" t="str">
        <f>VLOOKUP(D39,Program!$A$1:$B$34,2,FALSE)</f>
        <v>VAL-projektet</v>
      </c>
      <c r="V39" s="41">
        <f>VLOOKUP(A39,kurspris!$A$1:$Q$225,15,FALSE)</f>
        <v>31433</v>
      </c>
      <c r="W39" s="41">
        <f>VLOOKUP(A39,kurspris!$A$1:$Q$225,16,FALSE)</f>
        <v>65018</v>
      </c>
      <c r="X39" s="41">
        <f t="shared" si="28"/>
        <v>24112.750192902</v>
      </c>
      <c r="Y39" s="41">
        <f>VLOOKUP(A39,kurspris!$A$1:$Q$225,17,FALSE)</f>
        <v>71400</v>
      </c>
      <c r="Z39" s="41">
        <f t="shared" si="29"/>
        <v>17850.0001428</v>
      </c>
      <c r="AA39" s="41">
        <f t="shared" si="30"/>
        <v>41962.750335702003</v>
      </c>
      <c r="AB39" s="32">
        <f>VLOOKUP($A39,kurspris!$A$1:$Q$262,3,FALSE)</f>
        <v>0</v>
      </c>
      <c r="AC39" s="32">
        <f>VLOOKUP($A39,kurspris!$A$1:$Q$262,4,FALSE)</f>
        <v>0</v>
      </c>
      <c r="AD39" s="32">
        <f>VLOOKUP($A39,kurspris!$A$1:$Q$262,5,FALSE)</f>
        <v>0</v>
      </c>
      <c r="AE39" s="32">
        <f>VLOOKUP($A39,kurspris!$A$1:$Q$262,6,FALSE)</f>
        <v>0</v>
      </c>
      <c r="AF39" s="32">
        <f>VLOOKUP($A39,kurspris!$A$1:$Q$262,7,FALSE)</f>
        <v>1</v>
      </c>
      <c r="AG39" s="32">
        <f>VLOOKUP($A39,kurspris!$A$1:$Q$262,8,FALSE)</f>
        <v>0</v>
      </c>
      <c r="AH39" s="32">
        <f>VLOOKUP($A39,kurspris!$A$1:$Q$262,9,FALSE)</f>
        <v>0</v>
      </c>
      <c r="AI39" s="32">
        <f>VLOOKUP($A39,kurspris!$A$1:$Q$262,10,FALSE)</f>
        <v>0</v>
      </c>
      <c r="AJ39" s="32">
        <f>VLOOKUP($A39,kurspris!$A$1:$Q$262,11,FALSE)</f>
        <v>0</v>
      </c>
      <c r="AK39" s="32">
        <f>VLOOKUP($A39,kurspris!$A$1:$Q$262,12,FALSE)</f>
        <v>0</v>
      </c>
      <c r="AL39" s="32">
        <f>VLOOKUP($A39,kurspris!$A$1:$Q$262,13,FALSE)</f>
        <v>0</v>
      </c>
      <c r="AM39" s="32">
        <f>VLOOKUP($A39,kurspris!$A$1:$Q$262,14,FALSE)</f>
        <v>0</v>
      </c>
      <c r="AN39" s="38" t="s">
        <v>917</v>
      </c>
      <c r="AO39"/>
      <c r="AP39" s="32">
        <f t="shared" si="31"/>
        <v>0</v>
      </c>
      <c r="AQ39" s="234">
        <f t="shared" si="32"/>
        <v>0</v>
      </c>
      <c r="AR39" s="32">
        <f t="shared" si="33"/>
        <v>0</v>
      </c>
      <c r="AS39" s="234">
        <f t="shared" si="34"/>
        <v>0</v>
      </c>
      <c r="AT39" s="32">
        <f t="shared" si="35"/>
        <v>0</v>
      </c>
      <c r="AU39" s="32">
        <f t="shared" si="36"/>
        <v>0</v>
      </c>
      <c r="AV39" s="32">
        <f t="shared" si="37"/>
        <v>0</v>
      </c>
      <c r="AW39" s="234">
        <f t="shared" si="38"/>
        <v>0</v>
      </c>
      <c r="AX39" s="226">
        <f t="shared" si="39"/>
        <v>0.250000002</v>
      </c>
      <c r="AY39" s="234">
        <f t="shared" si="40"/>
        <v>0.250000002</v>
      </c>
      <c r="AZ39" s="32">
        <f t="shared" si="41"/>
        <v>0</v>
      </c>
      <c r="BA39" s="234">
        <f t="shared" si="42"/>
        <v>0</v>
      </c>
      <c r="BB39" s="32">
        <f t="shared" si="43"/>
        <v>0</v>
      </c>
      <c r="BC39" s="234">
        <f t="shared" si="44"/>
        <v>0</v>
      </c>
      <c r="BD39" s="32">
        <f t="shared" si="45"/>
        <v>0</v>
      </c>
      <c r="BE39" s="234">
        <f t="shared" si="46"/>
        <v>0</v>
      </c>
      <c r="BF39" s="32">
        <f t="shared" si="47"/>
        <v>0</v>
      </c>
      <c r="BG39" s="234">
        <f t="shared" si="48"/>
        <v>0</v>
      </c>
      <c r="BH39" s="32">
        <f t="shared" si="49"/>
        <v>0</v>
      </c>
      <c r="BI39" s="32">
        <f t="shared" si="50"/>
        <v>0</v>
      </c>
      <c r="BJ39" s="234">
        <f t="shared" si="51"/>
        <v>0</v>
      </c>
      <c r="BK39" s="32">
        <f t="shared" si="52"/>
        <v>0</v>
      </c>
      <c r="BL39" s="234">
        <f t="shared" si="53"/>
        <v>0</v>
      </c>
    </row>
    <row r="40" spans="1:64" ht="15" customHeight="1" x14ac:dyDescent="0.25">
      <c r="A40" s="221" t="s">
        <v>817</v>
      </c>
      <c r="B40" s="26" t="str">
        <f>VLOOKUP(A40,kurspris!$A$1:$B$304,2,FALSE)</f>
        <v>Musik 3, distans</v>
      </c>
      <c r="C40" s="56"/>
      <c r="D40" s="56" t="s">
        <v>90</v>
      </c>
      <c r="E40" s="59"/>
      <c r="F40" s="56" t="s">
        <v>892</v>
      </c>
      <c r="G40" s="59"/>
      <c r="H40" s="59"/>
      <c r="K40" s="37"/>
      <c r="L40" s="32">
        <v>50</v>
      </c>
      <c r="M40" s="32">
        <v>15</v>
      </c>
      <c r="N40" s="32">
        <v>1</v>
      </c>
      <c r="O40" s="234">
        <v>0.250000002</v>
      </c>
      <c r="P40" s="39">
        <v>1</v>
      </c>
      <c r="Q40" s="234">
        <f t="shared" si="27"/>
        <v>0.250000002</v>
      </c>
      <c r="R40" s="32">
        <f>VLOOKUP(A40,'Ansvar kurs'!$A$1:$C$399,2,FALSE)</f>
        <v>1650</v>
      </c>
      <c r="S40" s="32" t="str">
        <f>VLOOKUP(R40,Orgenheter!$A$1:$C$166,2,FALSE)</f>
        <v xml:space="preserve">Estetiska ämnen               </v>
      </c>
      <c r="T40" s="32" t="str">
        <f>VLOOKUP(R40,Orgenheter!$A$1:$C$166,3,FALSE)</f>
        <v>Hum</v>
      </c>
      <c r="U40" s="37" t="str">
        <f>VLOOKUP(D40,Program!$A$1:$B$34,2,FALSE)</f>
        <v>Fristående och övriga kurser</v>
      </c>
      <c r="V40" s="41">
        <f>VLOOKUP(A40,kurspris!$A$1:$Q$225,15,FALSE)</f>
        <v>31433</v>
      </c>
      <c r="W40" s="41">
        <f>VLOOKUP(A40,kurspris!$A$1:$Q$225,16,FALSE)</f>
        <v>65018</v>
      </c>
      <c r="X40" s="41">
        <f t="shared" si="28"/>
        <v>24112.750192902</v>
      </c>
      <c r="Y40" s="41">
        <f>VLOOKUP(A40,kurspris!$A$1:$Q$225,17,FALSE)</f>
        <v>71400</v>
      </c>
      <c r="Z40" s="41">
        <f t="shared" si="29"/>
        <v>17850.0001428</v>
      </c>
      <c r="AA40" s="41">
        <f t="shared" si="30"/>
        <v>41962.750335702003</v>
      </c>
      <c r="AB40" s="32">
        <f>VLOOKUP($A40,kurspris!$A$1:$Q$262,3,FALSE)</f>
        <v>0</v>
      </c>
      <c r="AC40" s="32">
        <f>VLOOKUP($A40,kurspris!$A$1:$Q$262,4,FALSE)</f>
        <v>0</v>
      </c>
      <c r="AD40" s="32">
        <f>VLOOKUP($A40,kurspris!$A$1:$Q$262,5,FALSE)</f>
        <v>0</v>
      </c>
      <c r="AE40" s="32">
        <f>VLOOKUP($A40,kurspris!$A$1:$Q$262,6,FALSE)</f>
        <v>0</v>
      </c>
      <c r="AF40" s="32">
        <f>VLOOKUP($A40,kurspris!$A$1:$Q$262,7,FALSE)</f>
        <v>1</v>
      </c>
      <c r="AG40" s="32">
        <f>VLOOKUP($A40,kurspris!$A$1:$Q$262,8,FALSE)</f>
        <v>0</v>
      </c>
      <c r="AH40" s="32">
        <f>VLOOKUP($A40,kurspris!$A$1:$Q$262,9,FALSE)</f>
        <v>0</v>
      </c>
      <c r="AI40" s="32">
        <f>VLOOKUP($A40,kurspris!$A$1:$Q$262,10,FALSE)</f>
        <v>0</v>
      </c>
      <c r="AJ40" s="32">
        <f>VLOOKUP($A40,kurspris!$A$1:$Q$262,11,FALSE)</f>
        <v>0</v>
      </c>
      <c r="AK40" s="32">
        <f>VLOOKUP($A40,kurspris!$A$1:$Q$262,12,FALSE)</f>
        <v>0</v>
      </c>
      <c r="AL40" s="32">
        <f>VLOOKUP($A40,kurspris!$A$1:$Q$262,13,FALSE)</f>
        <v>0</v>
      </c>
      <c r="AM40" s="32">
        <f>VLOOKUP($A40,kurspris!$A$1:$Q$262,14,FALSE)</f>
        <v>0</v>
      </c>
      <c r="AN40" s="38" t="s">
        <v>917</v>
      </c>
      <c r="AO40"/>
      <c r="AP40" s="32">
        <f t="shared" si="31"/>
        <v>0</v>
      </c>
      <c r="AQ40" s="234">
        <f t="shared" si="32"/>
        <v>0</v>
      </c>
      <c r="AR40" s="32">
        <f t="shared" si="33"/>
        <v>0</v>
      </c>
      <c r="AS40" s="234">
        <f t="shared" si="34"/>
        <v>0</v>
      </c>
      <c r="AT40" s="32">
        <f t="shared" si="35"/>
        <v>0</v>
      </c>
      <c r="AU40" s="32">
        <f t="shared" si="36"/>
        <v>0</v>
      </c>
      <c r="AV40" s="32">
        <f t="shared" si="37"/>
        <v>0</v>
      </c>
      <c r="AW40" s="234">
        <f t="shared" si="38"/>
        <v>0</v>
      </c>
      <c r="AX40" s="226">
        <f t="shared" si="39"/>
        <v>0.250000002</v>
      </c>
      <c r="AY40" s="234">
        <f t="shared" si="40"/>
        <v>0.250000002</v>
      </c>
      <c r="AZ40" s="32">
        <f t="shared" si="41"/>
        <v>0</v>
      </c>
      <c r="BA40" s="234">
        <f t="shared" si="42"/>
        <v>0</v>
      </c>
      <c r="BB40" s="32">
        <f t="shared" si="43"/>
        <v>0</v>
      </c>
      <c r="BC40" s="234">
        <f t="shared" si="44"/>
        <v>0</v>
      </c>
      <c r="BD40" s="32">
        <f t="shared" si="45"/>
        <v>0</v>
      </c>
      <c r="BE40" s="234">
        <f t="shared" si="46"/>
        <v>0</v>
      </c>
      <c r="BF40" s="32">
        <f t="shared" si="47"/>
        <v>0</v>
      </c>
      <c r="BG40" s="234">
        <f t="shared" si="48"/>
        <v>0</v>
      </c>
      <c r="BH40" s="32">
        <f t="shared" si="49"/>
        <v>0</v>
      </c>
      <c r="BI40" s="32">
        <f t="shared" si="50"/>
        <v>0</v>
      </c>
      <c r="BJ40" s="234">
        <f t="shared" si="51"/>
        <v>0</v>
      </c>
      <c r="BK40" s="32">
        <f t="shared" si="52"/>
        <v>0</v>
      </c>
      <c r="BL40" s="234">
        <f t="shared" si="53"/>
        <v>0</v>
      </c>
    </row>
    <row r="41" spans="1:64" ht="15" customHeight="1" x14ac:dyDescent="0.25">
      <c r="A41" s="162" t="s">
        <v>532</v>
      </c>
      <c r="B41" s="26" t="str">
        <f>VLOOKUP(A41,kurspris!$A$1:$B$304,2,FALSE)</f>
        <v>Utbildningens villkor och samhälleliga funktion - grundnivå (VAL, ULV)</v>
      </c>
      <c r="C41" s="351"/>
      <c r="D41" s="32" t="s">
        <v>74</v>
      </c>
      <c r="E41" s="59"/>
      <c r="F41" s="56" t="s">
        <v>892</v>
      </c>
      <c r="H41" s="59"/>
      <c r="K41" s="37"/>
      <c r="L41" s="32">
        <v>50</v>
      </c>
      <c r="M41" s="32">
        <v>7.5</v>
      </c>
      <c r="N41" s="32">
        <v>12</v>
      </c>
      <c r="O41" s="234">
        <v>1.4999999820000001</v>
      </c>
      <c r="P41" s="39">
        <v>1</v>
      </c>
      <c r="Q41" s="234">
        <f t="shared" si="27"/>
        <v>1.4999999820000001</v>
      </c>
      <c r="R41" s="32">
        <f>VLOOKUP(A41,'Ansvar kurs'!$A$1:$C$399,2,FALSE)</f>
        <v>2193</v>
      </c>
      <c r="S41" s="32" t="str">
        <f>VLOOKUP(R41,Orgenheter!$A$1:$C$166,2,FALSE)</f>
        <v xml:space="preserve">TUV </v>
      </c>
      <c r="T41" s="32" t="str">
        <f>VLOOKUP(R41,Orgenheter!$A$1:$C$166,3,FALSE)</f>
        <v>Sam</v>
      </c>
      <c r="U41" s="37" t="str">
        <f>VLOOKUP(D41,Program!$A$1:$B$34,2,FALSE)</f>
        <v>VAL-projektet</v>
      </c>
      <c r="V41" s="41">
        <f>VLOOKUP(A41,kurspris!$A$1:$Q$225,15,FALSE)</f>
        <v>24104</v>
      </c>
      <c r="W41" s="41">
        <f>VLOOKUP(A41,kurspris!$A$1:$Q$225,16,FALSE)</f>
        <v>31432</v>
      </c>
      <c r="X41" s="41">
        <f t="shared" si="28"/>
        <v>83303.999000352007</v>
      </c>
      <c r="Y41" s="41">
        <f>VLOOKUP(A41,kurspris!$A$1:$Q$225,17,FALSE)</f>
        <v>5900</v>
      </c>
      <c r="Z41" s="41">
        <f t="shared" si="29"/>
        <v>8849.9998938000008</v>
      </c>
      <c r="AA41" s="41">
        <f t="shared" si="30"/>
        <v>92153.998894152013</v>
      </c>
      <c r="AB41" s="32">
        <f>VLOOKUP($A41,kurspris!$A$1:$Q$262,3,FALSE)</f>
        <v>0</v>
      </c>
      <c r="AC41" s="32">
        <f>VLOOKUP($A41,kurspris!$A$1:$Q$262,4,FALSE)</f>
        <v>0</v>
      </c>
      <c r="AD41" s="32">
        <f>VLOOKUP($A41,kurspris!$A$1:$Q$262,5,FALSE)</f>
        <v>0</v>
      </c>
      <c r="AE41" s="32">
        <f>VLOOKUP($A41,kurspris!$A$1:$Q$262,6,FALSE)</f>
        <v>1</v>
      </c>
      <c r="AF41" s="32">
        <f>VLOOKUP($A41,kurspris!$A$1:$Q$262,7,FALSE)</f>
        <v>0</v>
      </c>
      <c r="AG41" s="32">
        <f>VLOOKUP($A41,kurspris!$A$1:$Q$262,8,FALSE)</f>
        <v>0</v>
      </c>
      <c r="AH41" s="32">
        <f>VLOOKUP($A41,kurspris!$A$1:$Q$262,9,FALSE)</f>
        <v>0</v>
      </c>
      <c r="AI41" s="32">
        <f>VLOOKUP($A41,kurspris!$A$1:$Q$262,10,FALSE)</f>
        <v>0</v>
      </c>
      <c r="AJ41" s="32">
        <f>VLOOKUP($A41,kurspris!$A$1:$Q$262,11,FALSE)</f>
        <v>0</v>
      </c>
      <c r="AK41" s="32">
        <f>VLOOKUP($A41,kurspris!$A$1:$Q$262,12,FALSE)</f>
        <v>0</v>
      </c>
      <c r="AL41" s="32">
        <f>VLOOKUP($A41,kurspris!$A$1:$Q$262,13,FALSE)</f>
        <v>0</v>
      </c>
      <c r="AM41" s="32">
        <f>VLOOKUP($A41,kurspris!$A$1:$Q$262,14,FALSE)</f>
        <v>0</v>
      </c>
      <c r="AN41" s="38" t="s">
        <v>917</v>
      </c>
      <c r="AO41"/>
      <c r="AP41" s="32">
        <f t="shared" si="31"/>
        <v>0</v>
      </c>
      <c r="AQ41" s="234">
        <f t="shared" si="32"/>
        <v>0</v>
      </c>
      <c r="AR41" s="32">
        <f t="shared" si="33"/>
        <v>0</v>
      </c>
      <c r="AS41" s="234">
        <f t="shared" si="34"/>
        <v>0</v>
      </c>
      <c r="AT41" s="32">
        <f t="shared" si="35"/>
        <v>0</v>
      </c>
      <c r="AU41" s="32">
        <f t="shared" si="36"/>
        <v>0</v>
      </c>
      <c r="AV41" s="32">
        <f t="shared" si="37"/>
        <v>1.4999999820000001</v>
      </c>
      <c r="AW41" s="234">
        <f t="shared" si="38"/>
        <v>1.4999999820000001</v>
      </c>
      <c r="AX41" s="226">
        <f t="shared" si="39"/>
        <v>0</v>
      </c>
      <c r="AY41" s="234">
        <f t="shared" si="40"/>
        <v>0</v>
      </c>
      <c r="AZ41" s="32">
        <f t="shared" si="41"/>
        <v>0</v>
      </c>
      <c r="BA41" s="234">
        <f t="shared" si="42"/>
        <v>0</v>
      </c>
      <c r="BB41" s="32">
        <f t="shared" si="43"/>
        <v>0</v>
      </c>
      <c r="BC41" s="234">
        <f t="shared" si="44"/>
        <v>0</v>
      </c>
      <c r="BD41" s="32">
        <f t="shared" si="45"/>
        <v>0</v>
      </c>
      <c r="BE41" s="234">
        <f t="shared" si="46"/>
        <v>0</v>
      </c>
      <c r="BF41" s="32">
        <f t="shared" si="47"/>
        <v>0</v>
      </c>
      <c r="BG41" s="234">
        <f t="shared" si="48"/>
        <v>0</v>
      </c>
      <c r="BH41" s="32">
        <f t="shared" si="49"/>
        <v>0</v>
      </c>
      <c r="BI41" s="32">
        <f t="shared" si="50"/>
        <v>0</v>
      </c>
      <c r="BJ41" s="234">
        <f t="shared" si="51"/>
        <v>0</v>
      </c>
      <c r="BK41" s="32">
        <f t="shared" si="52"/>
        <v>0</v>
      </c>
      <c r="BL41" s="234">
        <f t="shared" si="53"/>
        <v>0</v>
      </c>
    </row>
    <row r="42" spans="1:64" ht="15" customHeight="1" x14ac:dyDescent="0.25">
      <c r="A42" s="221" t="s">
        <v>533</v>
      </c>
      <c r="B42" s="26" t="str">
        <f>VLOOKUP(A42,kurspris!$A$1:$B$304,2,FALSE)</f>
        <v>Specialpedagogik, sociala relationer och kommunikation - grundnivå (VAL, ULV)</v>
      </c>
      <c r="C42" s="56"/>
      <c r="D42" s="32" t="s">
        <v>74</v>
      </c>
      <c r="E42" s="59"/>
      <c r="F42" s="56" t="s">
        <v>892</v>
      </c>
      <c r="G42" s="59"/>
      <c r="H42" s="59"/>
      <c r="K42" s="37"/>
      <c r="L42" s="32">
        <v>50</v>
      </c>
      <c r="M42" s="32">
        <v>7.5</v>
      </c>
      <c r="N42" s="32">
        <v>35</v>
      </c>
      <c r="O42" s="234">
        <v>4.3749999475000001</v>
      </c>
      <c r="P42" s="39">
        <v>1</v>
      </c>
      <c r="Q42" s="234">
        <f t="shared" si="27"/>
        <v>4.3749999475000001</v>
      </c>
      <c r="R42" s="32">
        <f>VLOOKUP(A42,'Ansvar kurs'!$A$1:$C$399,2,FALSE)</f>
        <v>2193</v>
      </c>
      <c r="S42" s="32" t="str">
        <f>VLOOKUP(R42,Orgenheter!$A$1:$C$166,2,FALSE)</f>
        <v xml:space="preserve">TUV </v>
      </c>
      <c r="T42" s="32" t="str">
        <f>VLOOKUP(R42,Orgenheter!$A$1:$C$166,3,FALSE)</f>
        <v>Sam</v>
      </c>
      <c r="U42" s="37" t="str">
        <f>VLOOKUP(D42,Program!$A$1:$B$34,2,FALSE)</f>
        <v>VAL-projektet</v>
      </c>
      <c r="V42" s="41">
        <f>VLOOKUP(A42,kurspris!$A$1:$Q$225,15,FALSE)</f>
        <v>24104</v>
      </c>
      <c r="W42" s="41">
        <f>VLOOKUP(A42,kurspris!$A$1:$Q$225,16,FALSE)</f>
        <v>31432</v>
      </c>
      <c r="X42" s="41">
        <f t="shared" si="28"/>
        <v>242969.99708435999</v>
      </c>
      <c r="Y42" s="41">
        <f>VLOOKUP(A42,kurspris!$A$1:$Q$225,17,FALSE)</f>
        <v>5900</v>
      </c>
      <c r="Z42" s="41">
        <f t="shared" si="29"/>
        <v>25812.499690249999</v>
      </c>
      <c r="AA42" s="41">
        <f t="shared" si="30"/>
        <v>268782.49677461002</v>
      </c>
      <c r="AB42" s="32">
        <f>VLOOKUP($A42,kurspris!$A$1:$Q$262,3,FALSE)</f>
        <v>0</v>
      </c>
      <c r="AC42" s="32">
        <f>VLOOKUP($A42,kurspris!$A$1:$Q$262,4,FALSE)</f>
        <v>0</v>
      </c>
      <c r="AD42" s="32">
        <f>VLOOKUP($A42,kurspris!$A$1:$Q$262,5,FALSE)</f>
        <v>0</v>
      </c>
      <c r="AE42" s="32">
        <f>VLOOKUP($A42,kurspris!$A$1:$Q$262,6,FALSE)</f>
        <v>1</v>
      </c>
      <c r="AF42" s="32">
        <f>VLOOKUP($A42,kurspris!$A$1:$Q$262,7,FALSE)</f>
        <v>0</v>
      </c>
      <c r="AG42" s="32">
        <f>VLOOKUP($A42,kurspris!$A$1:$Q$262,8,FALSE)</f>
        <v>0</v>
      </c>
      <c r="AH42" s="32">
        <f>VLOOKUP($A42,kurspris!$A$1:$Q$262,9,FALSE)</f>
        <v>0</v>
      </c>
      <c r="AI42" s="32">
        <f>VLOOKUP($A42,kurspris!$A$1:$Q$262,10,FALSE)</f>
        <v>0</v>
      </c>
      <c r="AJ42" s="32">
        <f>VLOOKUP($A42,kurspris!$A$1:$Q$262,11,FALSE)</f>
        <v>0</v>
      </c>
      <c r="AK42" s="32">
        <f>VLOOKUP($A42,kurspris!$A$1:$Q$262,12,FALSE)</f>
        <v>0</v>
      </c>
      <c r="AL42" s="32">
        <f>VLOOKUP($A42,kurspris!$A$1:$Q$262,13,FALSE)</f>
        <v>0</v>
      </c>
      <c r="AM42" s="32">
        <f>VLOOKUP($A42,kurspris!$A$1:$Q$262,14,FALSE)</f>
        <v>0</v>
      </c>
      <c r="AN42" s="38" t="s">
        <v>917</v>
      </c>
      <c r="AO42"/>
      <c r="AP42" s="32">
        <f t="shared" si="31"/>
        <v>0</v>
      </c>
      <c r="AQ42" s="234">
        <f t="shared" si="32"/>
        <v>0</v>
      </c>
      <c r="AR42" s="32">
        <f t="shared" si="33"/>
        <v>0</v>
      </c>
      <c r="AS42" s="234">
        <f t="shared" si="34"/>
        <v>0</v>
      </c>
      <c r="AT42" s="32">
        <f t="shared" si="35"/>
        <v>0</v>
      </c>
      <c r="AU42" s="32">
        <f t="shared" si="36"/>
        <v>0</v>
      </c>
      <c r="AV42" s="32">
        <f t="shared" si="37"/>
        <v>4.3749999475000001</v>
      </c>
      <c r="AW42" s="234">
        <f t="shared" si="38"/>
        <v>4.3749999475000001</v>
      </c>
      <c r="AX42" s="226">
        <f t="shared" si="39"/>
        <v>0</v>
      </c>
      <c r="AY42" s="234">
        <f t="shared" si="40"/>
        <v>0</v>
      </c>
      <c r="AZ42" s="32">
        <f t="shared" si="41"/>
        <v>0</v>
      </c>
      <c r="BA42" s="234">
        <f t="shared" si="42"/>
        <v>0</v>
      </c>
      <c r="BB42" s="32">
        <f t="shared" si="43"/>
        <v>0</v>
      </c>
      <c r="BC42" s="234">
        <f t="shared" si="44"/>
        <v>0</v>
      </c>
      <c r="BD42" s="32">
        <f t="shared" si="45"/>
        <v>0</v>
      </c>
      <c r="BE42" s="234">
        <f t="shared" si="46"/>
        <v>0</v>
      </c>
      <c r="BF42" s="32">
        <f t="shared" si="47"/>
        <v>0</v>
      </c>
      <c r="BG42" s="234">
        <f t="shared" si="48"/>
        <v>0</v>
      </c>
      <c r="BH42" s="32">
        <f t="shared" si="49"/>
        <v>0</v>
      </c>
      <c r="BI42" s="32">
        <f t="shared" si="50"/>
        <v>0</v>
      </c>
      <c r="BJ42" s="234">
        <f t="shared" si="51"/>
        <v>0</v>
      </c>
      <c r="BK42" s="32">
        <f t="shared" si="52"/>
        <v>0</v>
      </c>
      <c r="BL42" s="234">
        <f t="shared" si="53"/>
        <v>0</v>
      </c>
    </row>
    <row r="43" spans="1:64" ht="15" customHeight="1" x14ac:dyDescent="0.25">
      <c r="A43" s="221" t="s">
        <v>535</v>
      </c>
      <c r="B43" s="26" t="str">
        <f>VLOOKUP(A43,kurspris!$A$1:$B$304,2,FALSE)</f>
        <v>Uppdrag, ledarskap och undervisning - grundnivå (VAL, ULV)</v>
      </c>
      <c r="C43" s="56"/>
      <c r="D43" s="32" t="s">
        <v>74</v>
      </c>
      <c r="E43" s="59"/>
      <c r="F43" s="56" t="s">
        <v>892</v>
      </c>
      <c r="G43" s="59"/>
      <c r="H43" s="59"/>
      <c r="K43" s="37"/>
      <c r="L43" s="32">
        <v>50</v>
      </c>
      <c r="M43" s="32">
        <v>7.5</v>
      </c>
      <c r="N43" s="32">
        <v>8</v>
      </c>
      <c r="O43" s="234">
        <v>1.0000000200000001</v>
      </c>
      <c r="P43" s="39">
        <v>1</v>
      </c>
      <c r="Q43" s="234">
        <f t="shared" si="27"/>
        <v>1.0000000200000001</v>
      </c>
      <c r="R43" s="32">
        <f>VLOOKUP(A43,'Ansvar kurs'!$A$1:$C$399,2,FALSE)</f>
        <v>2180</v>
      </c>
      <c r="S43" s="32" t="str">
        <f>VLOOKUP(R43,Orgenheter!$A$1:$C$166,2,FALSE)</f>
        <v xml:space="preserve">Pedagogik                     </v>
      </c>
      <c r="T43" s="32" t="str">
        <f>VLOOKUP(R43,Orgenheter!$A$1:$C$166,3,FALSE)</f>
        <v>Sam</v>
      </c>
      <c r="U43" s="37" t="str">
        <f>VLOOKUP(D43,Program!$A$1:$B$34,2,FALSE)</f>
        <v>VAL-projektet</v>
      </c>
      <c r="V43" s="41">
        <f>VLOOKUP(A43,kurspris!$A$1:$Q$225,15,FALSE)</f>
        <v>24104</v>
      </c>
      <c r="W43" s="41">
        <f>VLOOKUP(A43,kurspris!$A$1:$Q$225,16,FALSE)</f>
        <v>31432</v>
      </c>
      <c r="X43" s="41">
        <f t="shared" si="28"/>
        <v>55536.001110720004</v>
      </c>
      <c r="Y43" s="41">
        <f>VLOOKUP(A43,kurspris!$A$1:$Q$225,17,FALSE)</f>
        <v>5900</v>
      </c>
      <c r="Z43" s="41">
        <f t="shared" si="29"/>
        <v>5900.0001180000008</v>
      </c>
      <c r="AA43" s="41">
        <f t="shared" si="30"/>
        <v>61436.001228720008</v>
      </c>
      <c r="AB43" s="32">
        <f>VLOOKUP($A43,kurspris!$A$1:$Q$262,3,FALSE)</f>
        <v>0</v>
      </c>
      <c r="AC43" s="32">
        <f>VLOOKUP($A43,kurspris!$A$1:$Q$262,4,FALSE)</f>
        <v>0</v>
      </c>
      <c r="AD43" s="32">
        <f>VLOOKUP($A43,kurspris!$A$1:$Q$262,5,FALSE)</f>
        <v>0</v>
      </c>
      <c r="AE43" s="32">
        <f>VLOOKUP($A43,kurspris!$A$1:$Q$262,6,FALSE)</f>
        <v>1</v>
      </c>
      <c r="AF43" s="32">
        <f>VLOOKUP($A43,kurspris!$A$1:$Q$262,7,FALSE)</f>
        <v>0</v>
      </c>
      <c r="AG43" s="32">
        <f>VLOOKUP($A43,kurspris!$A$1:$Q$262,8,FALSE)</f>
        <v>0</v>
      </c>
      <c r="AH43" s="32">
        <f>VLOOKUP($A43,kurspris!$A$1:$Q$262,9,FALSE)</f>
        <v>0</v>
      </c>
      <c r="AI43" s="32">
        <f>VLOOKUP($A43,kurspris!$A$1:$Q$262,10,FALSE)</f>
        <v>0</v>
      </c>
      <c r="AJ43" s="32">
        <f>VLOOKUP($A43,kurspris!$A$1:$Q$262,11,FALSE)</f>
        <v>0</v>
      </c>
      <c r="AK43" s="32">
        <f>VLOOKUP($A43,kurspris!$A$1:$Q$262,12,FALSE)</f>
        <v>0</v>
      </c>
      <c r="AL43" s="32">
        <f>VLOOKUP($A43,kurspris!$A$1:$Q$262,13,FALSE)</f>
        <v>0</v>
      </c>
      <c r="AM43" s="32">
        <f>VLOOKUP($A43,kurspris!$A$1:$Q$262,14,FALSE)</f>
        <v>0</v>
      </c>
      <c r="AN43" s="38" t="s">
        <v>917</v>
      </c>
      <c r="AO43"/>
      <c r="AP43" s="32">
        <f t="shared" si="31"/>
        <v>0</v>
      </c>
      <c r="AQ43" s="234">
        <f t="shared" si="32"/>
        <v>0</v>
      </c>
      <c r="AR43" s="32">
        <f t="shared" si="33"/>
        <v>0</v>
      </c>
      <c r="AS43" s="234">
        <f t="shared" si="34"/>
        <v>0</v>
      </c>
      <c r="AT43" s="32">
        <f t="shared" si="35"/>
        <v>0</v>
      </c>
      <c r="AU43" s="32">
        <f t="shared" si="36"/>
        <v>0</v>
      </c>
      <c r="AV43" s="32">
        <f t="shared" si="37"/>
        <v>1.0000000200000001</v>
      </c>
      <c r="AW43" s="234">
        <f t="shared" si="38"/>
        <v>1.0000000200000001</v>
      </c>
      <c r="AX43" s="226">
        <f t="shared" si="39"/>
        <v>0</v>
      </c>
      <c r="AY43" s="234">
        <f t="shared" si="40"/>
        <v>0</v>
      </c>
      <c r="AZ43" s="32">
        <f t="shared" si="41"/>
        <v>0</v>
      </c>
      <c r="BA43" s="234">
        <f t="shared" si="42"/>
        <v>0</v>
      </c>
      <c r="BB43" s="32">
        <f t="shared" si="43"/>
        <v>0</v>
      </c>
      <c r="BC43" s="234">
        <f t="shared" si="44"/>
        <v>0</v>
      </c>
      <c r="BD43" s="32">
        <f t="shared" si="45"/>
        <v>0</v>
      </c>
      <c r="BE43" s="234">
        <f t="shared" si="46"/>
        <v>0</v>
      </c>
      <c r="BF43" s="32">
        <f t="shared" si="47"/>
        <v>0</v>
      </c>
      <c r="BG43" s="234">
        <f t="shared" si="48"/>
        <v>0</v>
      </c>
      <c r="BH43" s="32">
        <f t="shared" si="49"/>
        <v>0</v>
      </c>
      <c r="BI43" s="32">
        <f t="shared" si="50"/>
        <v>0</v>
      </c>
      <c r="BJ43" s="234">
        <f t="shared" si="51"/>
        <v>0</v>
      </c>
      <c r="BK43" s="32">
        <f t="shared" si="52"/>
        <v>0</v>
      </c>
      <c r="BL43" s="234">
        <f t="shared" si="53"/>
        <v>0</v>
      </c>
    </row>
    <row r="44" spans="1:64" ht="15" customHeight="1" x14ac:dyDescent="0.25">
      <c r="A44" s="221" t="s">
        <v>536</v>
      </c>
      <c r="B44" s="26" t="str">
        <f>VLOOKUP(A44,kurspris!$A$1:$B$304,2,FALSE)</f>
        <v>Undervisning och lärande - läroplansteori och didaktik - grundnivå (VAL, ULV)</v>
      </c>
      <c r="C44" s="56"/>
      <c r="D44" s="32" t="s">
        <v>74</v>
      </c>
      <c r="E44" s="59"/>
      <c r="F44" s="56" t="s">
        <v>892</v>
      </c>
      <c r="G44" s="59"/>
      <c r="H44" s="59"/>
      <c r="K44" s="37"/>
      <c r="L44" s="32">
        <v>50</v>
      </c>
      <c r="M44" s="32">
        <v>7.5</v>
      </c>
      <c r="N44" s="32">
        <v>37</v>
      </c>
      <c r="O44" s="234">
        <v>4.6249999444999998</v>
      </c>
      <c r="P44" s="39">
        <v>1</v>
      </c>
      <c r="Q44" s="234">
        <f t="shared" si="27"/>
        <v>4.6249999444999998</v>
      </c>
      <c r="R44" s="32">
        <f>VLOOKUP(A44,'Ansvar kurs'!$A$1:$C$399,2,FALSE)</f>
        <v>2180</v>
      </c>
      <c r="S44" s="32" t="str">
        <f>VLOOKUP(R44,Orgenheter!$A$1:$C$166,2,FALSE)</f>
        <v xml:space="preserve">Pedagogik                     </v>
      </c>
      <c r="T44" s="32" t="str">
        <f>VLOOKUP(R44,Orgenheter!$A$1:$C$166,3,FALSE)</f>
        <v>Sam</v>
      </c>
      <c r="U44" s="37" t="str">
        <f>VLOOKUP(D44,Program!$A$1:$B$34,2,FALSE)</f>
        <v>VAL-projektet</v>
      </c>
      <c r="V44" s="41">
        <f>VLOOKUP(A44,kurspris!$A$1:$Q$225,15,FALSE)</f>
        <v>24104</v>
      </c>
      <c r="W44" s="41">
        <f>VLOOKUP(A44,kurspris!$A$1:$Q$225,16,FALSE)</f>
        <v>31432</v>
      </c>
      <c r="X44" s="41">
        <f t="shared" si="28"/>
        <v>256853.996917752</v>
      </c>
      <c r="Y44" s="41">
        <f>VLOOKUP(A44,kurspris!$A$1:$Q$225,17,FALSE)</f>
        <v>5900</v>
      </c>
      <c r="Z44" s="41">
        <f t="shared" si="29"/>
        <v>27287.499672549999</v>
      </c>
      <c r="AA44" s="41">
        <f t="shared" si="30"/>
        <v>284141.49659030198</v>
      </c>
      <c r="AB44" s="32">
        <f>VLOOKUP($A44,kurspris!$A$1:$Q$262,3,FALSE)</f>
        <v>0</v>
      </c>
      <c r="AC44" s="32">
        <f>VLOOKUP($A44,kurspris!$A$1:$Q$262,4,FALSE)</f>
        <v>0</v>
      </c>
      <c r="AD44" s="32">
        <f>VLOOKUP($A44,kurspris!$A$1:$Q$262,5,FALSE)</f>
        <v>0</v>
      </c>
      <c r="AE44" s="32">
        <f>VLOOKUP($A44,kurspris!$A$1:$Q$262,6,FALSE)</f>
        <v>1</v>
      </c>
      <c r="AF44" s="32">
        <f>VLOOKUP($A44,kurspris!$A$1:$Q$262,7,FALSE)</f>
        <v>0</v>
      </c>
      <c r="AG44" s="32">
        <f>VLOOKUP($A44,kurspris!$A$1:$Q$262,8,FALSE)</f>
        <v>0</v>
      </c>
      <c r="AH44" s="32">
        <f>VLOOKUP($A44,kurspris!$A$1:$Q$262,9,FALSE)</f>
        <v>0</v>
      </c>
      <c r="AI44" s="32">
        <f>VLOOKUP($A44,kurspris!$A$1:$Q$262,10,FALSE)</f>
        <v>0</v>
      </c>
      <c r="AJ44" s="32">
        <f>VLOOKUP($A44,kurspris!$A$1:$Q$262,11,FALSE)</f>
        <v>0</v>
      </c>
      <c r="AK44" s="32">
        <f>VLOOKUP($A44,kurspris!$A$1:$Q$262,12,FALSE)</f>
        <v>0</v>
      </c>
      <c r="AL44" s="32">
        <f>VLOOKUP($A44,kurspris!$A$1:$Q$262,13,FALSE)</f>
        <v>0</v>
      </c>
      <c r="AM44" s="32">
        <f>VLOOKUP($A44,kurspris!$A$1:$Q$262,14,FALSE)</f>
        <v>0</v>
      </c>
      <c r="AN44" s="38" t="s">
        <v>917</v>
      </c>
      <c r="AO44"/>
      <c r="AP44" s="32">
        <f t="shared" si="31"/>
        <v>0</v>
      </c>
      <c r="AQ44" s="234">
        <f t="shared" si="32"/>
        <v>0</v>
      </c>
      <c r="AR44" s="32">
        <f t="shared" si="33"/>
        <v>0</v>
      </c>
      <c r="AS44" s="234">
        <f t="shared" si="34"/>
        <v>0</v>
      </c>
      <c r="AT44" s="32">
        <f t="shared" si="35"/>
        <v>0</v>
      </c>
      <c r="AU44" s="32">
        <f t="shared" si="36"/>
        <v>0</v>
      </c>
      <c r="AV44" s="32">
        <f t="shared" si="37"/>
        <v>4.6249999444999998</v>
      </c>
      <c r="AW44" s="234">
        <f t="shared" si="38"/>
        <v>4.6249999444999998</v>
      </c>
      <c r="AX44" s="226">
        <f t="shared" si="39"/>
        <v>0</v>
      </c>
      <c r="AY44" s="234">
        <f t="shared" si="40"/>
        <v>0</v>
      </c>
      <c r="AZ44" s="32">
        <f t="shared" si="41"/>
        <v>0</v>
      </c>
      <c r="BA44" s="234">
        <f t="shared" si="42"/>
        <v>0</v>
      </c>
      <c r="BB44" s="32">
        <f t="shared" si="43"/>
        <v>0</v>
      </c>
      <c r="BC44" s="234">
        <f t="shared" si="44"/>
        <v>0</v>
      </c>
      <c r="BD44" s="32">
        <f t="shared" si="45"/>
        <v>0</v>
      </c>
      <c r="BE44" s="234">
        <f t="shared" si="46"/>
        <v>0</v>
      </c>
      <c r="BF44" s="32">
        <f t="shared" si="47"/>
        <v>0</v>
      </c>
      <c r="BG44" s="234">
        <f t="shared" si="48"/>
        <v>0</v>
      </c>
      <c r="BH44" s="32">
        <f t="shared" si="49"/>
        <v>0</v>
      </c>
      <c r="BI44" s="32">
        <f t="shared" si="50"/>
        <v>0</v>
      </c>
      <c r="BJ44" s="234">
        <f t="shared" si="51"/>
        <v>0</v>
      </c>
      <c r="BK44" s="32">
        <f t="shared" si="52"/>
        <v>0</v>
      </c>
      <c r="BL44" s="234">
        <f t="shared" si="53"/>
        <v>0</v>
      </c>
    </row>
    <row r="45" spans="1:64" ht="15" customHeight="1" x14ac:dyDescent="0.25">
      <c r="A45" s="221" t="s">
        <v>654</v>
      </c>
      <c r="B45" s="26" t="str">
        <f>VLOOKUP(A45,kurspris!$A$1:$B$304,2,FALSE)</f>
        <v>Examensarbete med ämnesdidaktisk inriktning (VAL, ULV)</v>
      </c>
      <c r="C45" s="56"/>
      <c r="D45" s="32" t="s">
        <v>74</v>
      </c>
      <c r="E45" s="59"/>
      <c r="F45" s="56" t="s">
        <v>892</v>
      </c>
      <c r="G45" s="59"/>
      <c r="H45" s="59"/>
      <c r="K45" s="37"/>
      <c r="L45" s="32">
        <v>50</v>
      </c>
      <c r="M45" s="32">
        <v>15</v>
      </c>
      <c r="N45" s="32">
        <v>20</v>
      </c>
      <c r="O45" s="234">
        <v>5.0000000399999998</v>
      </c>
      <c r="P45" s="39">
        <v>1</v>
      </c>
      <c r="Q45" s="234">
        <f t="shared" si="27"/>
        <v>5.0000000399999998</v>
      </c>
      <c r="R45" s="32">
        <f>VLOOKUP(A45,'Ansvar kurs'!$A$1:$C$399,2,FALSE)</f>
        <v>2193</v>
      </c>
      <c r="S45" s="32" t="str">
        <f>VLOOKUP(R45,Orgenheter!$A$1:$C$166,2,FALSE)</f>
        <v xml:space="preserve">TUV </v>
      </c>
      <c r="T45" s="32" t="str">
        <f>VLOOKUP(R45,Orgenheter!$A$1:$C$166,3,FALSE)</f>
        <v>Sam</v>
      </c>
      <c r="U45" s="37" t="str">
        <f>VLOOKUP(D45,Program!$A$1:$B$34,2,FALSE)</f>
        <v>VAL-projektet</v>
      </c>
      <c r="V45" s="41">
        <f>VLOOKUP(A45,kurspris!$A$1:$Q$225,15,FALSE)</f>
        <v>24104</v>
      </c>
      <c r="W45" s="41">
        <f>VLOOKUP(A45,kurspris!$A$1:$Q$225,16,FALSE)</f>
        <v>31432</v>
      </c>
      <c r="X45" s="41">
        <f t="shared" si="28"/>
        <v>277680.00222143997</v>
      </c>
      <c r="Y45" s="41">
        <f>VLOOKUP(A45,kurspris!$A$1:$Q$225,17,FALSE)</f>
        <v>5900</v>
      </c>
      <c r="Z45" s="41">
        <f t="shared" si="29"/>
        <v>29500.000236</v>
      </c>
      <c r="AA45" s="41">
        <f t="shared" si="30"/>
        <v>307180.00245743996</v>
      </c>
      <c r="AB45" s="32">
        <f>VLOOKUP($A45,kurspris!$A$1:$Q$262,3,FALSE)</f>
        <v>0</v>
      </c>
      <c r="AC45" s="32">
        <f>VLOOKUP($A45,kurspris!$A$1:$Q$262,4,FALSE)</f>
        <v>0</v>
      </c>
      <c r="AD45" s="32">
        <f>VLOOKUP($A45,kurspris!$A$1:$Q$262,5,FALSE)</f>
        <v>0</v>
      </c>
      <c r="AE45" s="32">
        <f>VLOOKUP($A45,kurspris!$A$1:$Q$262,6,FALSE)</f>
        <v>1</v>
      </c>
      <c r="AF45" s="32">
        <f>VLOOKUP($A45,kurspris!$A$1:$Q$262,7,FALSE)</f>
        <v>0</v>
      </c>
      <c r="AG45" s="32">
        <f>VLOOKUP($A45,kurspris!$A$1:$Q$262,8,FALSE)</f>
        <v>0</v>
      </c>
      <c r="AH45" s="32">
        <f>VLOOKUP($A45,kurspris!$A$1:$Q$262,9,FALSE)</f>
        <v>0</v>
      </c>
      <c r="AI45" s="32">
        <f>VLOOKUP($A45,kurspris!$A$1:$Q$262,10,FALSE)</f>
        <v>0</v>
      </c>
      <c r="AJ45" s="32">
        <f>VLOOKUP($A45,kurspris!$A$1:$Q$262,11,FALSE)</f>
        <v>0</v>
      </c>
      <c r="AK45" s="32">
        <f>VLOOKUP($A45,kurspris!$A$1:$Q$262,12,FALSE)</f>
        <v>0</v>
      </c>
      <c r="AL45" s="32">
        <f>VLOOKUP($A45,kurspris!$A$1:$Q$262,13,FALSE)</f>
        <v>0</v>
      </c>
      <c r="AM45" s="32">
        <f>VLOOKUP($A45,kurspris!$A$1:$Q$262,14,FALSE)</f>
        <v>0</v>
      </c>
      <c r="AN45" s="38" t="s">
        <v>917</v>
      </c>
      <c r="AO45"/>
      <c r="AP45" s="32">
        <f t="shared" si="31"/>
        <v>0</v>
      </c>
      <c r="AQ45" s="234">
        <f t="shared" si="32"/>
        <v>0</v>
      </c>
      <c r="AR45" s="32">
        <f t="shared" si="33"/>
        <v>0</v>
      </c>
      <c r="AS45" s="234">
        <f t="shared" si="34"/>
        <v>0</v>
      </c>
      <c r="AT45" s="32">
        <f t="shared" si="35"/>
        <v>0</v>
      </c>
      <c r="AU45" s="32">
        <f t="shared" si="36"/>
        <v>0</v>
      </c>
      <c r="AV45" s="32">
        <f t="shared" si="37"/>
        <v>5.0000000399999998</v>
      </c>
      <c r="AW45" s="234">
        <f t="shared" si="38"/>
        <v>5.0000000399999998</v>
      </c>
      <c r="AX45" s="226">
        <f t="shared" si="39"/>
        <v>0</v>
      </c>
      <c r="AY45" s="234">
        <f t="shared" si="40"/>
        <v>0</v>
      </c>
      <c r="AZ45" s="32">
        <f t="shared" si="41"/>
        <v>0</v>
      </c>
      <c r="BA45" s="234">
        <f t="shared" si="42"/>
        <v>0</v>
      </c>
      <c r="BB45" s="32">
        <f t="shared" si="43"/>
        <v>0</v>
      </c>
      <c r="BC45" s="234">
        <f t="shared" si="44"/>
        <v>0</v>
      </c>
      <c r="BD45" s="32">
        <f t="shared" si="45"/>
        <v>0</v>
      </c>
      <c r="BE45" s="234">
        <f t="shared" si="46"/>
        <v>0</v>
      </c>
      <c r="BF45" s="32">
        <f t="shared" si="47"/>
        <v>0</v>
      </c>
      <c r="BG45" s="234">
        <f t="shared" si="48"/>
        <v>0</v>
      </c>
      <c r="BH45" s="32">
        <f t="shared" si="49"/>
        <v>0</v>
      </c>
      <c r="BI45" s="32">
        <f t="shared" si="50"/>
        <v>0</v>
      </c>
      <c r="BJ45" s="234">
        <f t="shared" si="51"/>
        <v>0</v>
      </c>
      <c r="BK45" s="32">
        <f t="shared" si="52"/>
        <v>0</v>
      </c>
      <c r="BL45" s="234">
        <f t="shared" si="53"/>
        <v>0</v>
      </c>
    </row>
    <row r="46" spans="1:64" ht="15" customHeight="1" x14ac:dyDescent="0.25">
      <c r="A46" s="221" t="s">
        <v>915</v>
      </c>
      <c r="B46" s="26" t="str">
        <f>VLOOKUP(A46,kurspris!$A$1:$B$304,2,FALSE)</f>
        <v>Spanska för ämneslärare, kurs III</v>
      </c>
      <c r="C46" s="56"/>
      <c r="D46" s="32" t="s">
        <v>74</v>
      </c>
      <c r="E46" s="59"/>
      <c r="F46" s="56" t="s">
        <v>892</v>
      </c>
      <c r="G46" s="59"/>
      <c r="H46" s="59"/>
      <c r="K46" s="37"/>
      <c r="L46" s="32">
        <v>100</v>
      </c>
      <c r="M46" s="32">
        <v>30</v>
      </c>
      <c r="N46" s="32">
        <v>1</v>
      </c>
      <c r="O46" s="234">
        <v>0.500000004</v>
      </c>
      <c r="P46" s="39">
        <v>1</v>
      </c>
      <c r="Q46" s="234">
        <f t="shared" si="27"/>
        <v>0.500000004</v>
      </c>
      <c r="R46" s="32">
        <f>VLOOKUP(A46,'Ansvar kurs'!$A$1:$C$399,2,FALSE)</f>
        <v>1620</v>
      </c>
      <c r="S46" s="32" t="str">
        <f>VLOOKUP(R46,Orgenheter!$A$1:$C$166,2,FALSE)</f>
        <v>Inst för språkstudier</v>
      </c>
      <c r="T46" s="32" t="str">
        <f>VLOOKUP(R46,Orgenheter!$A$1:$C$166,3,FALSE)</f>
        <v>Hum</v>
      </c>
      <c r="U46" s="37" t="str">
        <f>VLOOKUP(D46,Program!$A$1:$B$34,2,FALSE)</f>
        <v>VAL-projektet</v>
      </c>
      <c r="V46" s="41">
        <f>VLOOKUP(A46,kurspris!$A$1:$Q$225,15,FALSE)</f>
        <v>19097</v>
      </c>
      <c r="W46" s="41">
        <f>VLOOKUP(A46,kurspris!$A$1:$Q$225,16,FALSE)</f>
        <v>16075</v>
      </c>
      <c r="X46" s="41">
        <f t="shared" si="28"/>
        <v>17586.000140688</v>
      </c>
      <c r="Y46" s="41">
        <f>VLOOKUP(A46,kurspris!$A$1:$Q$225,17,FALSE)</f>
        <v>5900</v>
      </c>
      <c r="Z46" s="41">
        <f t="shared" si="29"/>
        <v>2950.0000236000001</v>
      </c>
      <c r="AA46" s="41">
        <f t="shared" si="30"/>
        <v>20536.000164288002</v>
      </c>
      <c r="AB46" s="32">
        <f>VLOOKUP($A46,kurspris!$A$1:$Q$262,3,FALSE)</f>
        <v>0</v>
      </c>
      <c r="AC46" s="32">
        <f>VLOOKUP($A46,kurspris!$A$1:$Q$262,4,FALSE)</f>
        <v>1</v>
      </c>
      <c r="AD46" s="32">
        <f>VLOOKUP($A46,kurspris!$A$1:$Q$262,5,FALSE)</f>
        <v>0</v>
      </c>
      <c r="AE46" s="32">
        <f>VLOOKUP($A46,kurspris!$A$1:$Q$262,6,FALSE)</f>
        <v>0</v>
      </c>
      <c r="AF46" s="32">
        <f>VLOOKUP($A46,kurspris!$A$1:$Q$262,7,FALSE)</f>
        <v>0</v>
      </c>
      <c r="AG46" s="32">
        <f>VLOOKUP($A46,kurspris!$A$1:$Q$262,8,FALSE)</f>
        <v>0</v>
      </c>
      <c r="AH46" s="32">
        <f>VLOOKUP($A46,kurspris!$A$1:$Q$262,9,FALSE)</f>
        <v>0</v>
      </c>
      <c r="AI46" s="32">
        <f>VLOOKUP($A46,kurspris!$A$1:$Q$262,10,FALSE)</f>
        <v>0</v>
      </c>
      <c r="AJ46" s="32">
        <f>VLOOKUP($A46,kurspris!$A$1:$Q$262,11,FALSE)</f>
        <v>0</v>
      </c>
      <c r="AK46" s="32">
        <f>VLOOKUP($A46,kurspris!$A$1:$Q$262,12,FALSE)</f>
        <v>0</v>
      </c>
      <c r="AL46" s="32">
        <f>VLOOKUP($A46,kurspris!$A$1:$Q$262,13,FALSE)</f>
        <v>0</v>
      </c>
      <c r="AM46" s="32">
        <f>VLOOKUP($A46,kurspris!$A$1:$Q$262,14,FALSE)</f>
        <v>0</v>
      </c>
      <c r="AN46" s="38" t="s">
        <v>917</v>
      </c>
      <c r="AP46" s="32">
        <f t="shared" si="31"/>
        <v>0</v>
      </c>
      <c r="AQ46" s="234">
        <f t="shared" si="32"/>
        <v>0</v>
      </c>
      <c r="AR46" s="32">
        <f t="shared" si="33"/>
        <v>0.500000004</v>
      </c>
      <c r="AS46" s="234">
        <f t="shared" si="34"/>
        <v>0.500000004</v>
      </c>
      <c r="AT46" s="32">
        <f t="shared" si="35"/>
        <v>0</v>
      </c>
      <c r="AU46" s="32">
        <f t="shared" si="36"/>
        <v>0</v>
      </c>
      <c r="AV46" s="32">
        <f t="shared" si="37"/>
        <v>0</v>
      </c>
      <c r="AW46" s="234">
        <f t="shared" si="38"/>
        <v>0</v>
      </c>
      <c r="AX46" s="226">
        <f t="shared" si="39"/>
        <v>0</v>
      </c>
      <c r="AY46" s="234">
        <f t="shared" si="40"/>
        <v>0</v>
      </c>
      <c r="AZ46" s="32">
        <f t="shared" si="41"/>
        <v>0</v>
      </c>
      <c r="BA46" s="234">
        <f t="shared" si="42"/>
        <v>0</v>
      </c>
      <c r="BB46" s="32">
        <f t="shared" si="43"/>
        <v>0</v>
      </c>
      <c r="BC46" s="234">
        <f t="shared" si="44"/>
        <v>0</v>
      </c>
      <c r="BD46" s="32">
        <f t="shared" si="45"/>
        <v>0</v>
      </c>
      <c r="BE46" s="234">
        <f t="shared" si="46"/>
        <v>0</v>
      </c>
      <c r="BF46" s="32">
        <f t="shared" si="47"/>
        <v>0</v>
      </c>
      <c r="BG46" s="234">
        <f t="shared" si="48"/>
        <v>0</v>
      </c>
      <c r="BH46" s="32">
        <f t="shared" si="49"/>
        <v>0</v>
      </c>
      <c r="BI46" s="32">
        <f t="shared" si="50"/>
        <v>0</v>
      </c>
      <c r="BJ46" s="234">
        <f t="shared" si="51"/>
        <v>0</v>
      </c>
      <c r="BK46" s="32">
        <f t="shared" si="52"/>
        <v>0</v>
      </c>
      <c r="BL46" s="234">
        <f t="shared" si="53"/>
        <v>0</v>
      </c>
    </row>
    <row r="47" spans="1:64" ht="15" customHeight="1" x14ac:dyDescent="0.25">
      <c r="A47" s="221" t="s">
        <v>411</v>
      </c>
      <c r="B47" s="26" t="str">
        <f>VLOOKUP(A47,kurspris!$A$1:$B$304,2,FALSE)</f>
        <v>Slöjd, Trä- och metall 2b, distans</v>
      </c>
      <c r="C47" s="56"/>
      <c r="D47" s="59" t="s">
        <v>74</v>
      </c>
      <c r="E47" s="59"/>
      <c r="F47" s="56" t="s">
        <v>892</v>
      </c>
      <c r="G47" s="59"/>
      <c r="H47" s="59"/>
      <c r="K47" s="37"/>
      <c r="L47" s="32">
        <v>50</v>
      </c>
      <c r="M47" s="32">
        <v>15</v>
      </c>
      <c r="N47" s="32">
        <v>7</v>
      </c>
      <c r="O47" s="234">
        <v>1.750000014</v>
      </c>
      <c r="P47" s="39">
        <v>1</v>
      </c>
      <c r="Q47" s="234">
        <f t="shared" si="27"/>
        <v>1.750000014</v>
      </c>
      <c r="R47" s="32">
        <f>VLOOKUP(A47,'Ansvar kurs'!$A$1:$C$399,2,FALSE)</f>
        <v>1650</v>
      </c>
      <c r="S47" s="32" t="str">
        <f>VLOOKUP(R47,Orgenheter!$A$1:$C$166,2,FALSE)</f>
        <v xml:space="preserve">Estetiska ämnen               </v>
      </c>
      <c r="T47" s="32" t="str">
        <f>VLOOKUP(R47,Orgenheter!$A$1:$C$166,3,FALSE)</f>
        <v>Hum</v>
      </c>
      <c r="U47" s="37" t="str">
        <f>VLOOKUP(D47,Program!$A$1:$B$34,2,FALSE)</f>
        <v>VAL-projektet</v>
      </c>
      <c r="V47" s="41">
        <f>VLOOKUP(A47,kurspris!$A$1:$Q$225,15,FALSE)</f>
        <v>19863</v>
      </c>
      <c r="W47" s="41">
        <f>VLOOKUP(A47,kurspris!$A$1:$Q$225,16,FALSE)</f>
        <v>35472</v>
      </c>
      <c r="X47" s="41">
        <f t="shared" si="28"/>
        <v>96836.250774690008</v>
      </c>
      <c r="Y47" s="41">
        <f>VLOOKUP(A47,kurspris!$A$1:$Q$225,17,FALSE)</f>
        <v>22200</v>
      </c>
      <c r="Z47" s="41">
        <f t="shared" si="29"/>
        <v>38850.000310800002</v>
      </c>
      <c r="AA47" s="41">
        <f t="shared" si="30"/>
        <v>135686.25108549002</v>
      </c>
      <c r="AB47" s="32">
        <f>VLOOKUP($A47,kurspris!$A$1:$Q$262,3,FALSE)</f>
        <v>0</v>
      </c>
      <c r="AC47" s="32">
        <f>VLOOKUP($A47,kurspris!$A$1:$Q$262,4,FALSE)</f>
        <v>0</v>
      </c>
      <c r="AD47" s="32">
        <f>VLOOKUP($A47,kurspris!$A$1:$Q$262,5,FALSE)</f>
        <v>0</v>
      </c>
      <c r="AE47" s="32">
        <f>VLOOKUP($A47,kurspris!$A$1:$Q$262,6,FALSE)</f>
        <v>0</v>
      </c>
      <c r="AF47" s="32">
        <f>VLOOKUP($A47,kurspris!$A$1:$Q$262,7,FALSE)</f>
        <v>0</v>
      </c>
      <c r="AG47" s="32">
        <f>VLOOKUP($A47,kurspris!$A$1:$Q$262,8,FALSE)</f>
        <v>0</v>
      </c>
      <c r="AH47" s="32">
        <f>VLOOKUP($A47,kurspris!$A$1:$Q$262,9,FALSE)</f>
        <v>0</v>
      </c>
      <c r="AI47" s="32">
        <f>VLOOKUP($A47,kurspris!$A$1:$Q$262,10,FALSE)</f>
        <v>1</v>
      </c>
      <c r="AJ47" s="32">
        <f>VLOOKUP($A47,kurspris!$A$1:$Q$262,11,FALSE)</f>
        <v>0</v>
      </c>
      <c r="AK47" s="32">
        <f>VLOOKUP($A47,kurspris!$A$1:$Q$262,12,FALSE)</f>
        <v>0</v>
      </c>
      <c r="AL47" s="32">
        <f>VLOOKUP($A47,kurspris!$A$1:$Q$262,13,FALSE)</f>
        <v>0</v>
      </c>
      <c r="AM47" s="32">
        <f>VLOOKUP($A47,kurspris!$A$1:$Q$262,14,FALSE)</f>
        <v>0</v>
      </c>
      <c r="AN47" s="38" t="s">
        <v>917</v>
      </c>
      <c r="AO47"/>
      <c r="AP47" s="32">
        <f t="shared" si="31"/>
        <v>0</v>
      </c>
      <c r="AQ47" s="234">
        <f t="shared" si="32"/>
        <v>0</v>
      </c>
      <c r="AR47" s="32">
        <f t="shared" si="33"/>
        <v>0</v>
      </c>
      <c r="AS47" s="234">
        <f t="shared" si="34"/>
        <v>0</v>
      </c>
      <c r="AT47" s="32">
        <f t="shared" si="35"/>
        <v>0</v>
      </c>
      <c r="AU47" s="32">
        <f t="shared" si="36"/>
        <v>0</v>
      </c>
      <c r="AV47" s="32">
        <f t="shared" si="37"/>
        <v>0</v>
      </c>
      <c r="AW47" s="234">
        <f t="shared" si="38"/>
        <v>0</v>
      </c>
      <c r="AX47" s="226">
        <f t="shared" si="39"/>
        <v>0</v>
      </c>
      <c r="AY47" s="234">
        <f t="shared" si="40"/>
        <v>0</v>
      </c>
      <c r="AZ47" s="32">
        <f t="shared" si="41"/>
        <v>0</v>
      </c>
      <c r="BA47" s="234">
        <f t="shared" si="42"/>
        <v>0</v>
      </c>
      <c r="BB47" s="32">
        <f t="shared" si="43"/>
        <v>0</v>
      </c>
      <c r="BC47" s="234">
        <f t="shared" si="44"/>
        <v>0</v>
      </c>
      <c r="BD47" s="32">
        <f t="shared" si="45"/>
        <v>1.750000014</v>
      </c>
      <c r="BE47" s="234">
        <f t="shared" si="46"/>
        <v>1.750000014</v>
      </c>
      <c r="BF47" s="32">
        <f t="shared" si="47"/>
        <v>0</v>
      </c>
      <c r="BG47" s="234">
        <f t="shared" si="48"/>
        <v>0</v>
      </c>
      <c r="BH47" s="32">
        <f t="shared" si="49"/>
        <v>0</v>
      </c>
      <c r="BI47" s="32">
        <f t="shared" si="50"/>
        <v>0</v>
      </c>
      <c r="BJ47" s="234">
        <f t="shared" si="51"/>
        <v>0</v>
      </c>
      <c r="BK47" s="32">
        <f t="shared" si="52"/>
        <v>0</v>
      </c>
      <c r="BL47" s="234">
        <f t="shared" si="53"/>
        <v>0</v>
      </c>
    </row>
    <row r="48" spans="1:64" ht="15" customHeight="1" x14ac:dyDescent="0.25">
      <c r="A48" s="221" t="s">
        <v>748</v>
      </c>
      <c r="B48" s="26" t="str">
        <f>VLOOKUP(A48,kurspris!$A$1:$B$304,2,FALSE)</f>
        <v>Slöjd 1, Trä- och metall</v>
      </c>
      <c r="C48" s="56"/>
      <c r="D48" s="32" t="s">
        <v>74</v>
      </c>
      <c r="E48" s="59"/>
      <c r="F48" s="56" t="s">
        <v>892</v>
      </c>
      <c r="G48" s="59"/>
      <c r="H48" s="59"/>
      <c r="K48" s="37"/>
      <c r="L48" s="32">
        <v>50</v>
      </c>
      <c r="M48" s="32">
        <v>15</v>
      </c>
      <c r="N48" s="32">
        <v>1</v>
      </c>
      <c r="O48" s="234">
        <v>0.250000002</v>
      </c>
      <c r="P48" s="39">
        <v>1</v>
      </c>
      <c r="Q48" s="234">
        <f t="shared" si="27"/>
        <v>0.250000002</v>
      </c>
      <c r="R48" s="32">
        <f>VLOOKUP(A48,'Ansvar kurs'!$A$1:$C$399,2,FALSE)</f>
        <v>1650</v>
      </c>
      <c r="S48" s="32" t="str">
        <f>VLOOKUP(R48,Orgenheter!$A$1:$C$166,2,FALSE)</f>
        <v xml:space="preserve">Estetiska ämnen               </v>
      </c>
      <c r="T48" s="32" t="str">
        <f>VLOOKUP(R48,Orgenheter!$A$1:$C$166,3,FALSE)</f>
        <v>Hum</v>
      </c>
      <c r="U48" s="37" t="str">
        <f>VLOOKUP(D48,Program!$A$1:$B$34,2,FALSE)</f>
        <v>VAL-projektet</v>
      </c>
      <c r="V48" s="41">
        <f>VLOOKUP(A48,kurspris!$A$1:$Q$225,15,FALSE)</f>
        <v>19863</v>
      </c>
      <c r="W48" s="41">
        <f>VLOOKUP(A48,kurspris!$A$1:$Q$225,16,FALSE)</f>
        <v>35472</v>
      </c>
      <c r="X48" s="41">
        <f t="shared" si="28"/>
        <v>13833.75011067</v>
      </c>
      <c r="Y48" s="41">
        <f>VLOOKUP(A48,kurspris!$A$1:$Q$225,17,FALSE)</f>
        <v>22200</v>
      </c>
      <c r="Z48" s="41">
        <f t="shared" si="29"/>
        <v>5550.0000443999998</v>
      </c>
      <c r="AA48" s="41">
        <f t="shared" si="30"/>
        <v>19383.75015507</v>
      </c>
      <c r="AB48" s="32">
        <f>VLOOKUP($A48,kurspris!$A$1:$Q$262,3,FALSE)</f>
        <v>0</v>
      </c>
      <c r="AC48" s="32">
        <f>VLOOKUP($A48,kurspris!$A$1:$Q$262,4,FALSE)</f>
        <v>0</v>
      </c>
      <c r="AD48" s="32">
        <f>VLOOKUP($A48,kurspris!$A$1:$Q$262,5,FALSE)</f>
        <v>0</v>
      </c>
      <c r="AE48" s="32">
        <f>VLOOKUP($A48,kurspris!$A$1:$Q$262,6,FALSE)</f>
        <v>0</v>
      </c>
      <c r="AF48" s="32">
        <f>VLOOKUP($A48,kurspris!$A$1:$Q$262,7,FALSE)</f>
        <v>0</v>
      </c>
      <c r="AG48" s="32">
        <f>VLOOKUP($A48,kurspris!$A$1:$Q$262,8,FALSE)</f>
        <v>0</v>
      </c>
      <c r="AH48" s="32">
        <f>VLOOKUP($A48,kurspris!$A$1:$Q$262,9,FALSE)</f>
        <v>0</v>
      </c>
      <c r="AI48" s="32">
        <f>VLOOKUP($A48,kurspris!$A$1:$Q$262,10,FALSE)</f>
        <v>1</v>
      </c>
      <c r="AJ48" s="32">
        <f>VLOOKUP($A48,kurspris!$A$1:$Q$262,11,FALSE)</f>
        <v>0</v>
      </c>
      <c r="AK48" s="32">
        <f>VLOOKUP($A48,kurspris!$A$1:$Q$262,12,FALSE)</f>
        <v>0</v>
      </c>
      <c r="AL48" s="32">
        <f>VLOOKUP($A48,kurspris!$A$1:$Q$262,13,FALSE)</f>
        <v>0</v>
      </c>
      <c r="AM48" s="32">
        <f>VLOOKUP($A48,kurspris!$A$1:$Q$262,14,FALSE)</f>
        <v>0</v>
      </c>
      <c r="AN48" s="38" t="s">
        <v>917</v>
      </c>
      <c r="AO48"/>
      <c r="AP48" s="32">
        <f t="shared" si="31"/>
        <v>0</v>
      </c>
      <c r="AQ48" s="234">
        <f t="shared" si="32"/>
        <v>0</v>
      </c>
      <c r="AR48" s="32">
        <f t="shared" si="33"/>
        <v>0</v>
      </c>
      <c r="AS48" s="234">
        <f t="shared" si="34"/>
        <v>0</v>
      </c>
      <c r="AT48" s="32">
        <f t="shared" si="35"/>
        <v>0</v>
      </c>
      <c r="AU48" s="32">
        <f t="shared" si="36"/>
        <v>0</v>
      </c>
      <c r="AV48" s="32">
        <f t="shared" si="37"/>
        <v>0</v>
      </c>
      <c r="AW48" s="234">
        <f t="shared" si="38"/>
        <v>0</v>
      </c>
      <c r="AX48" s="226">
        <f t="shared" si="39"/>
        <v>0</v>
      </c>
      <c r="AY48" s="234">
        <f t="shared" si="40"/>
        <v>0</v>
      </c>
      <c r="AZ48" s="32">
        <f t="shared" si="41"/>
        <v>0</v>
      </c>
      <c r="BA48" s="234">
        <f t="shared" si="42"/>
        <v>0</v>
      </c>
      <c r="BB48" s="32">
        <f t="shared" si="43"/>
        <v>0</v>
      </c>
      <c r="BC48" s="234">
        <f t="shared" si="44"/>
        <v>0</v>
      </c>
      <c r="BD48" s="32">
        <f t="shared" si="45"/>
        <v>0.250000002</v>
      </c>
      <c r="BE48" s="234">
        <f t="shared" si="46"/>
        <v>0.250000002</v>
      </c>
      <c r="BF48" s="32">
        <f t="shared" si="47"/>
        <v>0</v>
      </c>
      <c r="BG48" s="234">
        <f t="shared" si="48"/>
        <v>0</v>
      </c>
      <c r="BH48" s="32">
        <f t="shared" si="49"/>
        <v>0</v>
      </c>
      <c r="BI48" s="32">
        <f t="shared" si="50"/>
        <v>0</v>
      </c>
      <c r="BJ48" s="234">
        <f t="shared" si="51"/>
        <v>0</v>
      </c>
      <c r="BK48" s="32">
        <f t="shared" si="52"/>
        <v>0</v>
      </c>
      <c r="BL48" s="234">
        <f t="shared" si="53"/>
        <v>0</v>
      </c>
    </row>
    <row r="49" spans="1:64" ht="15" customHeight="1" x14ac:dyDescent="0.25">
      <c r="A49" s="162" t="s">
        <v>655</v>
      </c>
      <c r="B49" s="26" t="str">
        <f>VLOOKUP(A49,kurspris!$A$1:$B$304,2,FALSE)</f>
        <v>Skapandets intryck - utveckla och tala om hantverkets tysta kunskap</v>
      </c>
      <c r="C49" s="351"/>
      <c r="D49" s="32" t="s">
        <v>74</v>
      </c>
      <c r="E49" s="59"/>
      <c r="F49" s="56" t="s">
        <v>892</v>
      </c>
      <c r="H49" s="59"/>
      <c r="K49" s="37"/>
      <c r="L49" s="32">
        <v>50</v>
      </c>
      <c r="M49" s="32">
        <v>15</v>
      </c>
      <c r="N49" s="32">
        <v>8</v>
      </c>
      <c r="O49" s="234">
        <v>2.000000016</v>
      </c>
      <c r="P49" s="39">
        <v>1</v>
      </c>
      <c r="Q49" s="234">
        <f t="shared" si="27"/>
        <v>2.000000016</v>
      </c>
      <c r="R49" s="32">
        <f>VLOOKUP(A49,'Ansvar kurs'!$A$1:$C$399,2,FALSE)</f>
        <v>1650</v>
      </c>
      <c r="S49" s="32" t="str">
        <f>VLOOKUP(R49,Orgenheter!$A$1:$C$166,2,FALSE)</f>
        <v xml:space="preserve">Estetiska ämnen               </v>
      </c>
      <c r="T49" s="32" t="str">
        <f>VLOOKUP(R49,Orgenheter!$A$1:$C$166,3,FALSE)</f>
        <v>Hum</v>
      </c>
      <c r="U49" s="37" t="str">
        <f>VLOOKUP(D49,Program!$A$1:$B$34,2,FALSE)</f>
        <v>VAL-projektet</v>
      </c>
      <c r="V49" s="41">
        <f>VLOOKUP(A49,kurspris!$A$1:$Q$225,15,FALSE)</f>
        <v>19863</v>
      </c>
      <c r="W49" s="41">
        <f>VLOOKUP(A49,kurspris!$A$1:$Q$225,16,FALSE)</f>
        <v>35472</v>
      </c>
      <c r="X49" s="41">
        <f t="shared" si="28"/>
        <v>110670.00088536</v>
      </c>
      <c r="Y49" s="41">
        <f>VLOOKUP(A49,kurspris!$A$1:$Q$225,17,FALSE)</f>
        <v>22200</v>
      </c>
      <c r="Z49" s="41">
        <f t="shared" si="29"/>
        <v>44400.000355199998</v>
      </c>
      <c r="AA49" s="41">
        <f t="shared" si="30"/>
        <v>155070.00124056</v>
      </c>
      <c r="AB49" s="32">
        <f>VLOOKUP($A49,kurspris!$A$1:$Q$262,3,FALSE)</f>
        <v>0</v>
      </c>
      <c r="AC49" s="32">
        <f>VLOOKUP($A49,kurspris!$A$1:$Q$262,4,FALSE)</f>
        <v>0</v>
      </c>
      <c r="AD49" s="32">
        <f>VLOOKUP($A49,kurspris!$A$1:$Q$262,5,FALSE)</f>
        <v>0</v>
      </c>
      <c r="AE49" s="32">
        <f>VLOOKUP($A49,kurspris!$A$1:$Q$262,6,FALSE)</f>
        <v>0</v>
      </c>
      <c r="AF49" s="32">
        <f>VLOOKUP($A49,kurspris!$A$1:$Q$262,7,FALSE)</f>
        <v>0</v>
      </c>
      <c r="AG49" s="32">
        <f>VLOOKUP($A49,kurspris!$A$1:$Q$262,8,FALSE)</f>
        <v>0</v>
      </c>
      <c r="AH49" s="32">
        <f>VLOOKUP($A49,kurspris!$A$1:$Q$262,9,FALSE)</f>
        <v>0</v>
      </c>
      <c r="AI49" s="32">
        <f>VLOOKUP($A49,kurspris!$A$1:$Q$262,10,FALSE)</f>
        <v>1</v>
      </c>
      <c r="AJ49" s="32">
        <f>VLOOKUP($A49,kurspris!$A$1:$Q$262,11,FALSE)</f>
        <v>0</v>
      </c>
      <c r="AK49" s="32">
        <f>VLOOKUP($A49,kurspris!$A$1:$Q$262,12,FALSE)</f>
        <v>0</v>
      </c>
      <c r="AL49" s="32">
        <f>VLOOKUP($A49,kurspris!$A$1:$Q$262,13,FALSE)</f>
        <v>0</v>
      </c>
      <c r="AM49" s="32">
        <f>VLOOKUP($A49,kurspris!$A$1:$Q$262,14,FALSE)</f>
        <v>0</v>
      </c>
      <c r="AN49" s="38" t="s">
        <v>917</v>
      </c>
      <c r="AO49"/>
      <c r="AP49" s="32">
        <f t="shared" si="31"/>
        <v>0</v>
      </c>
      <c r="AQ49" s="234">
        <f t="shared" si="32"/>
        <v>0</v>
      </c>
      <c r="AR49" s="32">
        <f t="shared" si="33"/>
        <v>0</v>
      </c>
      <c r="AS49" s="234">
        <f t="shared" si="34"/>
        <v>0</v>
      </c>
      <c r="AT49" s="32">
        <f t="shared" si="35"/>
        <v>0</v>
      </c>
      <c r="AU49" s="32">
        <f t="shared" si="36"/>
        <v>0</v>
      </c>
      <c r="AV49" s="32">
        <f t="shared" si="37"/>
        <v>0</v>
      </c>
      <c r="AW49" s="234">
        <f t="shared" si="38"/>
        <v>0</v>
      </c>
      <c r="AX49" s="226">
        <f t="shared" si="39"/>
        <v>0</v>
      </c>
      <c r="AY49" s="234">
        <f t="shared" si="40"/>
        <v>0</v>
      </c>
      <c r="AZ49" s="32">
        <f t="shared" si="41"/>
        <v>0</v>
      </c>
      <c r="BA49" s="234">
        <f t="shared" si="42"/>
        <v>0</v>
      </c>
      <c r="BB49" s="32">
        <f t="shared" si="43"/>
        <v>0</v>
      </c>
      <c r="BC49" s="234">
        <f t="shared" si="44"/>
        <v>0</v>
      </c>
      <c r="BD49" s="32">
        <f t="shared" si="45"/>
        <v>2.000000016</v>
      </c>
      <c r="BE49" s="234">
        <f t="shared" si="46"/>
        <v>2.000000016</v>
      </c>
      <c r="BF49" s="32">
        <f t="shared" si="47"/>
        <v>0</v>
      </c>
      <c r="BG49" s="234">
        <f t="shared" si="48"/>
        <v>0</v>
      </c>
      <c r="BH49" s="32">
        <f t="shared" si="49"/>
        <v>0</v>
      </c>
      <c r="BI49" s="32">
        <f t="shared" si="50"/>
        <v>0</v>
      </c>
      <c r="BJ49" s="234">
        <f t="shared" si="51"/>
        <v>0</v>
      </c>
      <c r="BK49" s="32">
        <f t="shared" si="52"/>
        <v>0</v>
      </c>
      <c r="BL49" s="234">
        <f t="shared" si="53"/>
        <v>0</v>
      </c>
    </row>
    <row r="50" spans="1:64" ht="15" customHeight="1" x14ac:dyDescent="0.25">
      <c r="A50" s="32" t="s">
        <v>622</v>
      </c>
      <c r="B50" s="26" t="str">
        <f>VLOOKUP(A50,kurspris!$A$1:$B$304,2,FALSE)</f>
        <v>Läs- och skrivinlärning 1</v>
      </c>
      <c r="C50" s="351"/>
      <c r="D50" s="32" t="s">
        <v>74</v>
      </c>
      <c r="E50" s="59"/>
      <c r="F50" s="56" t="s">
        <v>892</v>
      </c>
      <c r="H50" s="59"/>
      <c r="K50" s="37"/>
      <c r="L50" s="32">
        <v>50</v>
      </c>
      <c r="M50" s="32">
        <v>7.5</v>
      </c>
      <c r="N50" s="32">
        <v>5</v>
      </c>
      <c r="O50" s="234">
        <v>0.62499999250000005</v>
      </c>
      <c r="P50" s="39">
        <v>1</v>
      </c>
      <c r="Q50" s="234">
        <f t="shared" si="27"/>
        <v>0.62499999250000005</v>
      </c>
      <c r="R50" s="32">
        <f>VLOOKUP(A50,'Ansvar kurs'!$A$1:$C$399,2,FALSE)</f>
        <v>1620</v>
      </c>
      <c r="S50" s="32" t="str">
        <f>VLOOKUP(R50,Orgenheter!$A$1:$C$166,2,FALSE)</f>
        <v>Inst för språkstudier</v>
      </c>
      <c r="T50" s="32" t="str">
        <f>VLOOKUP(R50,Orgenheter!$A$1:$C$166,3,FALSE)</f>
        <v>Hum</v>
      </c>
      <c r="U50" s="37" t="str">
        <f>VLOOKUP(D50,Program!$A$1:$B$34,2,FALSE)</f>
        <v>VAL-projektet</v>
      </c>
      <c r="V50" s="41">
        <f>VLOOKUP(A50,kurspris!$A$1:$Q$225,15,FALSE)</f>
        <v>19097</v>
      </c>
      <c r="W50" s="41">
        <f>VLOOKUP(A50,kurspris!$A$1:$Q$225,16,FALSE)</f>
        <v>16075</v>
      </c>
      <c r="X50" s="41">
        <f t="shared" si="28"/>
        <v>21982.499736210004</v>
      </c>
      <c r="Y50" s="41">
        <f>VLOOKUP(A50,kurspris!$A$1:$Q$225,17,FALSE)</f>
        <v>5900</v>
      </c>
      <c r="Z50" s="41">
        <f t="shared" si="29"/>
        <v>3687.4999557500005</v>
      </c>
      <c r="AA50" s="41">
        <f t="shared" si="30"/>
        <v>25669.999691960005</v>
      </c>
      <c r="AB50" s="32">
        <f>VLOOKUP($A50,kurspris!$A$1:$Q$262,3,FALSE)</f>
        <v>0</v>
      </c>
      <c r="AC50" s="32">
        <f>VLOOKUP($A50,kurspris!$A$1:$Q$262,4,FALSE)</f>
        <v>1</v>
      </c>
      <c r="AD50" s="32">
        <f>VLOOKUP($A50,kurspris!$A$1:$Q$262,5,FALSE)</f>
        <v>0</v>
      </c>
      <c r="AE50" s="32">
        <f>VLOOKUP($A50,kurspris!$A$1:$Q$262,6,FALSE)</f>
        <v>0</v>
      </c>
      <c r="AF50" s="32">
        <f>VLOOKUP($A50,kurspris!$A$1:$Q$262,7,FALSE)</f>
        <v>0</v>
      </c>
      <c r="AG50" s="32">
        <f>VLOOKUP($A50,kurspris!$A$1:$Q$262,8,FALSE)</f>
        <v>0</v>
      </c>
      <c r="AH50" s="32">
        <f>VLOOKUP($A50,kurspris!$A$1:$Q$262,9,FALSE)</f>
        <v>0</v>
      </c>
      <c r="AI50" s="32">
        <f>VLOOKUP($A50,kurspris!$A$1:$Q$262,10,FALSE)</f>
        <v>0</v>
      </c>
      <c r="AJ50" s="32">
        <f>VLOOKUP($A50,kurspris!$A$1:$Q$262,11,FALSE)</f>
        <v>0</v>
      </c>
      <c r="AK50" s="32">
        <f>VLOOKUP($A50,kurspris!$A$1:$Q$262,12,FALSE)</f>
        <v>0</v>
      </c>
      <c r="AL50" s="32">
        <f>VLOOKUP($A50,kurspris!$A$1:$Q$262,13,FALSE)</f>
        <v>0</v>
      </c>
      <c r="AM50" s="32">
        <f>VLOOKUP($A50,kurspris!$A$1:$Q$262,14,FALSE)</f>
        <v>0</v>
      </c>
      <c r="AN50" s="38" t="s">
        <v>917</v>
      </c>
      <c r="AO50"/>
      <c r="AP50" s="32">
        <f t="shared" si="31"/>
        <v>0</v>
      </c>
      <c r="AQ50" s="234">
        <f t="shared" si="32"/>
        <v>0</v>
      </c>
      <c r="AR50" s="32">
        <f t="shared" si="33"/>
        <v>0.62499999250000005</v>
      </c>
      <c r="AS50" s="234">
        <f t="shared" si="34"/>
        <v>0.62499999250000005</v>
      </c>
      <c r="AT50" s="32">
        <f t="shared" si="35"/>
        <v>0</v>
      </c>
      <c r="AU50" s="32">
        <f t="shared" si="36"/>
        <v>0</v>
      </c>
      <c r="AV50" s="32">
        <f t="shared" si="37"/>
        <v>0</v>
      </c>
      <c r="AW50" s="234">
        <f t="shared" si="38"/>
        <v>0</v>
      </c>
      <c r="AX50" s="226">
        <f t="shared" si="39"/>
        <v>0</v>
      </c>
      <c r="AY50" s="234">
        <f t="shared" si="40"/>
        <v>0</v>
      </c>
      <c r="AZ50" s="32">
        <f t="shared" si="41"/>
        <v>0</v>
      </c>
      <c r="BA50" s="234">
        <f t="shared" si="42"/>
        <v>0</v>
      </c>
      <c r="BB50" s="32">
        <f t="shared" si="43"/>
        <v>0</v>
      </c>
      <c r="BC50" s="234">
        <f t="shared" si="44"/>
        <v>0</v>
      </c>
      <c r="BD50" s="32">
        <f t="shared" si="45"/>
        <v>0</v>
      </c>
      <c r="BE50" s="234">
        <f t="shared" si="46"/>
        <v>0</v>
      </c>
      <c r="BF50" s="32">
        <f t="shared" si="47"/>
        <v>0</v>
      </c>
      <c r="BG50" s="234">
        <f t="shared" si="48"/>
        <v>0</v>
      </c>
      <c r="BH50" s="32">
        <f t="shared" si="49"/>
        <v>0</v>
      </c>
      <c r="BI50" s="32">
        <f t="shared" si="50"/>
        <v>0</v>
      </c>
      <c r="BJ50" s="234">
        <f t="shared" si="51"/>
        <v>0</v>
      </c>
      <c r="BK50" s="32">
        <f t="shared" si="52"/>
        <v>0</v>
      </c>
      <c r="BL50" s="234">
        <f t="shared" si="53"/>
        <v>0</v>
      </c>
    </row>
    <row r="51" spans="1:64" ht="15" customHeight="1" x14ac:dyDescent="0.25">
      <c r="A51" s="221" t="s">
        <v>916</v>
      </c>
      <c r="B51" s="26" t="str">
        <f>VLOOKUP(A51,kurspris!$A$1:$B$304,2,FALSE)</f>
        <v>Svenska som andraspråk C, Diskriminerande strukturer och skönlitteratur</v>
      </c>
      <c r="C51" s="56"/>
      <c r="D51" s="32" t="s">
        <v>74</v>
      </c>
      <c r="E51" s="59"/>
      <c r="F51" s="56" t="s">
        <v>892</v>
      </c>
      <c r="G51" s="59"/>
      <c r="H51" s="59"/>
      <c r="K51" s="37"/>
      <c r="L51" s="32">
        <v>50</v>
      </c>
      <c r="M51" s="32">
        <v>15</v>
      </c>
      <c r="N51" s="32">
        <v>1</v>
      </c>
      <c r="O51" s="234">
        <v>0.250000002</v>
      </c>
      <c r="P51" s="39">
        <v>1</v>
      </c>
      <c r="Q51" s="234">
        <f t="shared" si="27"/>
        <v>0.250000002</v>
      </c>
      <c r="R51" s="32">
        <f>VLOOKUP(A51,'Ansvar kurs'!$A$1:$C$399,2,FALSE)</f>
        <v>1620</v>
      </c>
      <c r="S51" s="32" t="str">
        <f>VLOOKUP(R51,Orgenheter!$A$1:$C$166,2,FALSE)</f>
        <v>Inst för språkstudier</v>
      </c>
      <c r="T51" s="32" t="str">
        <f>VLOOKUP(R51,Orgenheter!$A$1:$C$166,3,FALSE)</f>
        <v>Hum</v>
      </c>
      <c r="U51" s="37" t="str">
        <f>VLOOKUP(D51,Program!$A$1:$B$34,2,FALSE)</f>
        <v>VAL-projektet</v>
      </c>
      <c r="V51" s="41">
        <f>VLOOKUP(A51,kurspris!$A$1:$Q$225,15,FALSE)</f>
        <v>19097</v>
      </c>
      <c r="W51" s="41">
        <f>VLOOKUP(A51,kurspris!$A$1:$Q$225,16,FALSE)</f>
        <v>16075</v>
      </c>
      <c r="X51" s="41">
        <f t="shared" si="28"/>
        <v>8793.0000703440001</v>
      </c>
      <c r="Y51" s="41">
        <f>VLOOKUP(A51,kurspris!$A$1:$Q$225,17,FALSE)</f>
        <v>5900</v>
      </c>
      <c r="Z51" s="41">
        <f t="shared" si="29"/>
        <v>1475.0000118</v>
      </c>
      <c r="AA51" s="41">
        <f t="shared" si="30"/>
        <v>10268.000082144001</v>
      </c>
      <c r="AB51" s="32">
        <f>VLOOKUP($A51,kurspris!$A$1:$Q$262,3,FALSE)</f>
        <v>0</v>
      </c>
      <c r="AC51" s="32">
        <f>VLOOKUP($A51,kurspris!$A$1:$Q$262,4,FALSE)</f>
        <v>1</v>
      </c>
      <c r="AD51" s="32">
        <f>VLOOKUP($A51,kurspris!$A$1:$Q$262,5,FALSE)</f>
        <v>0</v>
      </c>
      <c r="AE51" s="32">
        <f>VLOOKUP($A51,kurspris!$A$1:$Q$262,6,FALSE)</f>
        <v>0</v>
      </c>
      <c r="AF51" s="32">
        <f>VLOOKUP($A51,kurspris!$A$1:$Q$262,7,FALSE)</f>
        <v>0</v>
      </c>
      <c r="AG51" s="32">
        <f>VLOOKUP($A51,kurspris!$A$1:$Q$262,8,FALSE)</f>
        <v>0</v>
      </c>
      <c r="AH51" s="32">
        <f>VLOOKUP($A51,kurspris!$A$1:$Q$262,9,FALSE)</f>
        <v>0</v>
      </c>
      <c r="AI51" s="32">
        <f>VLOOKUP($A51,kurspris!$A$1:$Q$262,10,FALSE)</f>
        <v>0</v>
      </c>
      <c r="AJ51" s="32">
        <f>VLOOKUP($A51,kurspris!$A$1:$Q$262,11,FALSE)</f>
        <v>0</v>
      </c>
      <c r="AK51" s="32">
        <f>VLOOKUP($A51,kurspris!$A$1:$Q$262,12,FALSE)</f>
        <v>0</v>
      </c>
      <c r="AL51" s="32">
        <f>VLOOKUP($A51,kurspris!$A$1:$Q$262,13,FALSE)</f>
        <v>0</v>
      </c>
      <c r="AM51" s="32">
        <f>VLOOKUP($A51,kurspris!$A$1:$Q$262,14,FALSE)</f>
        <v>0</v>
      </c>
      <c r="AN51" s="38" t="s">
        <v>917</v>
      </c>
      <c r="AO51"/>
      <c r="AP51" s="32">
        <f t="shared" si="31"/>
        <v>0</v>
      </c>
      <c r="AQ51" s="234">
        <f t="shared" si="32"/>
        <v>0</v>
      </c>
      <c r="AR51" s="32">
        <f t="shared" si="33"/>
        <v>0.250000002</v>
      </c>
      <c r="AS51" s="234">
        <f t="shared" si="34"/>
        <v>0.250000002</v>
      </c>
      <c r="AT51" s="32">
        <f t="shared" si="35"/>
        <v>0</v>
      </c>
      <c r="AU51" s="32">
        <f t="shared" si="36"/>
        <v>0</v>
      </c>
      <c r="AV51" s="32">
        <f t="shared" si="37"/>
        <v>0</v>
      </c>
      <c r="AW51" s="234">
        <f t="shared" si="38"/>
        <v>0</v>
      </c>
      <c r="AX51" s="226">
        <f t="shared" si="39"/>
        <v>0</v>
      </c>
      <c r="AY51" s="234">
        <f t="shared" si="40"/>
        <v>0</v>
      </c>
      <c r="AZ51" s="32">
        <f t="shared" si="41"/>
        <v>0</v>
      </c>
      <c r="BA51" s="234">
        <f t="shared" si="42"/>
        <v>0</v>
      </c>
      <c r="BB51" s="32">
        <f t="shared" si="43"/>
        <v>0</v>
      </c>
      <c r="BC51" s="234">
        <f t="shared" si="44"/>
        <v>0</v>
      </c>
      <c r="BD51" s="32">
        <f t="shared" si="45"/>
        <v>0</v>
      </c>
      <c r="BE51" s="234">
        <f t="shared" si="46"/>
        <v>0</v>
      </c>
      <c r="BF51" s="32">
        <f t="shared" si="47"/>
        <v>0</v>
      </c>
      <c r="BG51" s="234">
        <f t="shared" si="48"/>
        <v>0</v>
      </c>
      <c r="BH51" s="32">
        <f t="shared" si="49"/>
        <v>0</v>
      </c>
      <c r="BI51" s="32">
        <f t="shared" si="50"/>
        <v>0</v>
      </c>
      <c r="BJ51" s="234">
        <f t="shared" si="51"/>
        <v>0</v>
      </c>
      <c r="BK51" s="32">
        <f t="shared" si="52"/>
        <v>0</v>
      </c>
      <c r="BL51" s="234">
        <f t="shared" si="53"/>
        <v>0</v>
      </c>
    </row>
    <row r="52" spans="1:64" ht="15" customHeight="1" x14ac:dyDescent="0.25">
      <c r="A52" s="221" t="s">
        <v>412</v>
      </c>
      <c r="B52" s="26" t="str">
        <f>VLOOKUP(A52,kurspris!$A$1:$B$304,2,FALSE)</f>
        <v>Slöjd, textil 2b, distans</v>
      </c>
      <c r="C52" s="56"/>
      <c r="D52" s="32" t="s">
        <v>74</v>
      </c>
      <c r="E52" s="59"/>
      <c r="F52" s="56" t="s">
        <v>892</v>
      </c>
      <c r="G52" s="59"/>
      <c r="H52" s="59"/>
      <c r="K52" s="37"/>
      <c r="L52" s="32">
        <v>50</v>
      </c>
      <c r="M52" s="32">
        <v>15</v>
      </c>
      <c r="N52" s="32">
        <v>2</v>
      </c>
      <c r="O52" s="234">
        <v>0.500000004</v>
      </c>
      <c r="P52" s="39">
        <v>1</v>
      </c>
      <c r="Q52" s="234">
        <f t="shared" si="27"/>
        <v>0.500000004</v>
      </c>
      <c r="R52" s="32">
        <f>VLOOKUP(A52,'Ansvar kurs'!$A$1:$C$399,2,FALSE)</f>
        <v>1650</v>
      </c>
      <c r="S52" s="32" t="str">
        <f>VLOOKUP(R52,Orgenheter!$A$1:$C$166,2,FALSE)</f>
        <v xml:space="preserve">Estetiska ämnen               </v>
      </c>
      <c r="T52" s="32" t="str">
        <f>VLOOKUP(R52,Orgenheter!$A$1:$C$166,3,FALSE)</f>
        <v>Hum</v>
      </c>
      <c r="U52" s="37" t="str">
        <f>VLOOKUP(D52,Program!$A$1:$B$34,2,FALSE)</f>
        <v>VAL-projektet</v>
      </c>
      <c r="V52" s="41">
        <f>VLOOKUP(A52,kurspris!$A$1:$Q$225,15,FALSE)</f>
        <v>19863</v>
      </c>
      <c r="W52" s="41">
        <f>VLOOKUP(A52,kurspris!$A$1:$Q$225,16,FALSE)</f>
        <v>35472</v>
      </c>
      <c r="X52" s="41">
        <f t="shared" si="28"/>
        <v>27667.50022134</v>
      </c>
      <c r="Y52" s="41">
        <f>VLOOKUP(A52,kurspris!$A$1:$Q$225,17,FALSE)</f>
        <v>22200</v>
      </c>
      <c r="Z52" s="41">
        <f t="shared" si="29"/>
        <v>11100.0000888</v>
      </c>
      <c r="AA52" s="41">
        <f t="shared" si="30"/>
        <v>38767.50031014</v>
      </c>
      <c r="AB52" s="32">
        <f>VLOOKUP($A52,kurspris!$A$1:$Q$262,3,FALSE)</f>
        <v>0</v>
      </c>
      <c r="AC52" s="32">
        <f>VLOOKUP($A52,kurspris!$A$1:$Q$262,4,FALSE)</f>
        <v>0</v>
      </c>
      <c r="AD52" s="32">
        <f>VLOOKUP($A52,kurspris!$A$1:$Q$262,5,FALSE)</f>
        <v>0</v>
      </c>
      <c r="AE52" s="32">
        <f>VLOOKUP($A52,kurspris!$A$1:$Q$262,6,FALSE)</f>
        <v>0</v>
      </c>
      <c r="AF52" s="32">
        <f>VLOOKUP($A52,kurspris!$A$1:$Q$262,7,FALSE)</f>
        <v>0</v>
      </c>
      <c r="AG52" s="32">
        <f>VLOOKUP($A52,kurspris!$A$1:$Q$262,8,FALSE)</f>
        <v>0</v>
      </c>
      <c r="AH52" s="32">
        <f>VLOOKUP($A52,kurspris!$A$1:$Q$262,9,FALSE)</f>
        <v>0</v>
      </c>
      <c r="AI52" s="32">
        <f>VLOOKUP($A52,kurspris!$A$1:$Q$262,10,FALSE)</f>
        <v>1</v>
      </c>
      <c r="AJ52" s="32">
        <f>VLOOKUP($A52,kurspris!$A$1:$Q$262,11,FALSE)</f>
        <v>0</v>
      </c>
      <c r="AK52" s="32">
        <f>VLOOKUP($A52,kurspris!$A$1:$Q$262,12,FALSE)</f>
        <v>0</v>
      </c>
      <c r="AL52" s="32">
        <f>VLOOKUP($A52,kurspris!$A$1:$Q$262,13,FALSE)</f>
        <v>0</v>
      </c>
      <c r="AM52" s="32">
        <f>VLOOKUP($A52,kurspris!$A$1:$Q$262,14,FALSE)</f>
        <v>0</v>
      </c>
      <c r="AN52" s="38" t="s">
        <v>917</v>
      </c>
      <c r="AP52" s="32">
        <f t="shared" si="31"/>
        <v>0</v>
      </c>
      <c r="AQ52" s="234">
        <f t="shared" si="32"/>
        <v>0</v>
      </c>
      <c r="AR52" s="32">
        <f t="shared" si="33"/>
        <v>0</v>
      </c>
      <c r="AS52" s="234">
        <f t="shared" si="34"/>
        <v>0</v>
      </c>
      <c r="AT52" s="32">
        <f t="shared" si="35"/>
        <v>0</v>
      </c>
      <c r="AU52" s="32">
        <f t="shared" si="36"/>
        <v>0</v>
      </c>
      <c r="AV52" s="32">
        <f t="shared" si="37"/>
        <v>0</v>
      </c>
      <c r="AW52" s="234">
        <f t="shared" si="38"/>
        <v>0</v>
      </c>
      <c r="AX52" s="226">
        <f t="shared" si="39"/>
        <v>0</v>
      </c>
      <c r="AY52" s="234">
        <f t="shared" si="40"/>
        <v>0</v>
      </c>
      <c r="AZ52" s="32">
        <f t="shared" si="41"/>
        <v>0</v>
      </c>
      <c r="BA52" s="234">
        <f t="shared" si="42"/>
        <v>0</v>
      </c>
      <c r="BB52" s="32">
        <f t="shared" si="43"/>
        <v>0</v>
      </c>
      <c r="BC52" s="234">
        <f t="shared" si="44"/>
        <v>0</v>
      </c>
      <c r="BD52" s="32">
        <f t="shared" si="45"/>
        <v>0.500000004</v>
      </c>
      <c r="BE52" s="234">
        <f t="shared" si="46"/>
        <v>0.500000004</v>
      </c>
      <c r="BF52" s="32">
        <f t="shared" si="47"/>
        <v>0</v>
      </c>
      <c r="BG52" s="234">
        <f t="shared" si="48"/>
        <v>0</v>
      </c>
      <c r="BH52" s="32">
        <f t="shared" si="49"/>
        <v>0</v>
      </c>
      <c r="BI52" s="32">
        <f t="shared" si="50"/>
        <v>0</v>
      </c>
      <c r="BJ52" s="234">
        <f t="shared" si="51"/>
        <v>0</v>
      </c>
      <c r="BK52" s="32">
        <f t="shared" si="52"/>
        <v>0</v>
      </c>
      <c r="BL52" s="234">
        <f t="shared" si="53"/>
        <v>0</v>
      </c>
    </row>
    <row r="53" spans="1:64" ht="15" customHeight="1" x14ac:dyDescent="0.25">
      <c r="A53" s="221" t="s">
        <v>716</v>
      </c>
      <c r="B53" s="26" t="str">
        <f>VLOOKUP(A53,kurspris!$A$1:$B$304,2,FALSE)</f>
        <v>Textila uttryck</v>
      </c>
      <c r="C53" s="56"/>
      <c r="D53" s="32" t="s">
        <v>74</v>
      </c>
      <c r="E53" s="59"/>
      <c r="F53" s="56" t="s">
        <v>892</v>
      </c>
      <c r="G53" s="59"/>
      <c r="H53" s="59"/>
      <c r="K53" s="37"/>
      <c r="L53" s="32">
        <v>50</v>
      </c>
      <c r="M53" s="32">
        <v>15</v>
      </c>
      <c r="N53" s="32">
        <v>4</v>
      </c>
      <c r="O53" s="234">
        <v>1.000000008</v>
      </c>
      <c r="P53" s="39">
        <v>1</v>
      </c>
      <c r="Q53" s="234">
        <f t="shared" si="27"/>
        <v>1.000000008</v>
      </c>
      <c r="R53" s="32">
        <f>VLOOKUP(A53,'Ansvar kurs'!$A$1:$C$399,2,FALSE)</f>
        <v>1650</v>
      </c>
      <c r="S53" s="32" t="str">
        <f>VLOOKUP(R53,Orgenheter!$A$1:$C$166,2,FALSE)</f>
        <v xml:space="preserve">Estetiska ämnen               </v>
      </c>
      <c r="T53" s="32" t="str">
        <f>VLOOKUP(R53,Orgenheter!$A$1:$C$166,3,FALSE)</f>
        <v>Hum</v>
      </c>
      <c r="U53" s="37" t="str">
        <f>VLOOKUP(D53,Program!$A$1:$B$34,2,FALSE)</f>
        <v>VAL-projektet</v>
      </c>
      <c r="V53" s="41">
        <f>VLOOKUP(A53,kurspris!$A$1:$Q$225,15,FALSE)</f>
        <v>19863</v>
      </c>
      <c r="W53" s="41">
        <f>VLOOKUP(A53,kurspris!$A$1:$Q$225,16,FALSE)</f>
        <v>35472</v>
      </c>
      <c r="X53" s="41">
        <f t="shared" si="28"/>
        <v>55335.000442680001</v>
      </c>
      <c r="Y53" s="41">
        <f>VLOOKUP(A53,kurspris!$A$1:$Q$225,17,FALSE)</f>
        <v>22200</v>
      </c>
      <c r="Z53" s="41">
        <f t="shared" si="29"/>
        <v>22200.000177599999</v>
      </c>
      <c r="AA53" s="41">
        <f t="shared" si="30"/>
        <v>77535.00062028</v>
      </c>
      <c r="AB53" s="32">
        <f>VLOOKUP($A53,kurspris!$A$1:$Q$262,3,FALSE)</f>
        <v>0</v>
      </c>
      <c r="AC53" s="32">
        <f>VLOOKUP($A53,kurspris!$A$1:$Q$262,4,FALSE)</f>
        <v>0</v>
      </c>
      <c r="AD53" s="32">
        <f>VLOOKUP($A53,kurspris!$A$1:$Q$262,5,FALSE)</f>
        <v>0</v>
      </c>
      <c r="AE53" s="32">
        <f>VLOOKUP($A53,kurspris!$A$1:$Q$262,6,FALSE)</f>
        <v>0</v>
      </c>
      <c r="AF53" s="32">
        <f>VLOOKUP($A53,kurspris!$A$1:$Q$262,7,FALSE)</f>
        <v>0</v>
      </c>
      <c r="AG53" s="32">
        <f>VLOOKUP($A53,kurspris!$A$1:$Q$262,8,FALSE)</f>
        <v>0</v>
      </c>
      <c r="AH53" s="32">
        <f>VLOOKUP($A53,kurspris!$A$1:$Q$262,9,FALSE)</f>
        <v>0</v>
      </c>
      <c r="AI53" s="32">
        <f>VLOOKUP($A53,kurspris!$A$1:$Q$262,10,FALSE)</f>
        <v>1</v>
      </c>
      <c r="AJ53" s="32">
        <f>VLOOKUP($A53,kurspris!$A$1:$Q$262,11,FALSE)</f>
        <v>0</v>
      </c>
      <c r="AK53" s="32">
        <f>VLOOKUP($A53,kurspris!$A$1:$Q$262,12,FALSE)</f>
        <v>0</v>
      </c>
      <c r="AL53" s="32">
        <f>VLOOKUP($A53,kurspris!$A$1:$Q$262,13,FALSE)</f>
        <v>0</v>
      </c>
      <c r="AM53" s="32">
        <f>VLOOKUP($A53,kurspris!$A$1:$Q$262,14,FALSE)</f>
        <v>0</v>
      </c>
      <c r="AN53" s="38" t="s">
        <v>917</v>
      </c>
      <c r="AP53" s="32">
        <f t="shared" si="31"/>
        <v>0</v>
      </c>
      <c r="AQ53" s="234">
        <f t="shared" si="32"/>
        <v>0</v>
      </c>
      <c r="AR53" s="32">
        <f t="shared" si="33"/>
        <v>0</v>
      </c>
      <c r="AS53" s="234">
        <f t="shared" si="34"/>
        <v>0</v>
      </c>
      <c r="AT53" s="32">
        <f t="shared" si="35"/>
        <v>0</v>
      </c>
      <c r="AU53" s="32">
        <f t="shared" si="36"/>
        <v>0</v>
      </c>
      <c r="AV53" s="32">
        <f t="shared" si="37"/>
        <v>0</v>
      </c>
      <c r="AW53" s="234">
        <f t="shared" si="38"/>
        <v>0</v>
      </c>
      <c r="AX53" s="226">
        <f t="shared" si="39"/>
        <v>0</v>
      </c>
      <c r="AY53" s="234">
        <f t="shared" si="40"/>
        <v>0</v>
      </c>
      <c r="AZ53" s="32">
        <f t="shared" si="41"/>
        <v>0</v>
      </c>
      <c r="BA53" s="234">
        <f t="shared" si="42"/>
        <v>0</v>
      </c>
      <c r="BB53" s="32">
        <f t="shared" si="43"/>
        <v>0</v>
      </c>
      <c r="BC53" s="234">
        <f t="shared" si="44"/>
        <v>0</v>
      </c>
      <c r="BD53" s="32">
        <f t="shared" si="45"/>
        <v>1.000000008</v>
      </c>
      <c r="BE53" s="234">
        <f t="shared" si="46"/>
        <v>1.000000008</v>
      </c>
      <c r="BF53" s="32">
        <f t="shared" si="47"/>
        <v>0</v>
      </c>
      <c r="BG53" s="234">
        <f t="shared" si="48"/>
        <v>0</v>
      </c>
      <c r="BH53" s="32">
        <f t="shared" si="49"/>
        <v>0</v>
      </c>
      <c r="BI53" s="32">
        <f t="shared" si="50"/>
        <v>0</v>
      </c>
      <c r="BJ53" s="234">
        <f t="shared" si="51"/>
        <v>0</v>
      </c>
      <c r="BK53" s="32">
        <f t="shared" si="52"/>
        <v>0</v>
      </c>
      <c r="BL53" s="234">
        <f t="shared" si="53"/>
        <v>0</v>
      </c>
    </row>
    <row r="54" spans="1:64" ht="15" customHeight="1" x14ac:dyDescent="0.25">
      <c r="A54" s="221" t="s">
        <v>716</v>
      </c>
      <c r="B54" s="26" t="str">
        <f>VLOOKUP(A54,kurspris!$A$1:$B$304,2,FALSE)</f>
        <v>Textila uttryck</v>
      </c>
      <c r="C54" s="56"/>
      <c r="D54" s="56" t="s">
        <v>90</v>
      </c>
      <c r="E54" s="59"/>
      <c r="F54" s="56" t="s">
        <v>892</v>
      </c>
      <c r="G54" s="59"/>
      <c r="H54" s="59"/>
      <c r="K54" s="37"/>
      <c r="L54" s="32">
        <v>50</v>
      </c>
      <c r="M54" s="32">
        <v>15</v>
      </c>
      <c r="N54" s="32">
        <v>1</v>
      </c>
      <c r="O54" s="234">
        <v>0.250000002</v>
      </c>
      <c r="P54" s="39">
        <v>1</v>
      </c>
      <c r="Q54" s="234">
        <f t="shared" si="27"/>
        <v>0.250000002</v>
      </c>
      <c r="R54" s="32">
        <f>VLOOKUP(A54,'Ansvar kurs'!$A$1:$C$399,2,FALSE)</f>
        <v>1650</v>
      </c>
      <c r="S54" s="32" t="str">
        <f>VLOOKUP(R54,Orgenheter!$A$1:$C$166,2,FALSE)</f>
        <v xml:space="preserve">Estetiska ämnen               </v>
      </c>
      <c r="T54" s="32" t="str">
        <f>VLOOKUP(R54,Orgenheter!$A$1:$C$166,3,FALSE)</f>
        <v>Hum</v>
      </c>
      <c r="U54" s="37" t="str">
        <f>VLOOKUP(D54,Program!$A$1:$B$34,2,FALSE)</f>
        <v>Fristående och övriga kurser</v>
      </c>
      <c r="V54" s="41">
        <f>VLOOKUP(A54,kurspris!$A$1:$Q$225,15,FALSE)</f>
        <v>19863</v>
      </c>
      <c r="W54" s="41">
        <f>VLOOKUP(A54,kurspris!$A$1:$Q$225,16,FALSE)</f>
        <v>35472</v>
      </c>
      <c r="X54" s="41">
        <f t="shared" si="28"/>
        <v>13833.75011067</v>
      </c>
      <c r="Y54" s="41">
        <f>VLOOKUP(A54,kurspris!$A$1:$Q$225,17,FALSE)</f>
        <v>22200</v>
      </c>
      <c r="Z54" s="41">
        <f t="shared" si="29"/>
        <v>5550.0000443999998</v>
      </c>
      <c r="AA54" s="41">
        <f t="shared" si="30"/>
        <v>19383.75015507</v>
      </c>
      <c r="AB54" s="32">
        <f>VLOOKUP($A54,kurspris!$A$1:$Q$262,3,FALSE)</f>
        <v>0</v>
      </c>
      <c r="AC54" s="32">
        <f>VLOOKUP($A54,kurspris!$A$1:$Q$262,4,FALSE)</f>
        <v>0</v>
      </c>
      <c r="AD54" s="32">
        <f>VLOOKUP($A54,kurspris!$A$1:$Q$262,5,FALSE)</f>
        <v>0</v>
      </c>
      <c r="AE54" s="32">
        <f>VLOOKUP($A54,kurspris!$A$1:$Q$262,6,FALSE)</f>
        <v>0</v>
      </c>
      <c r="AF54" s="32">
        <f>VLOOKUP($A54,kurspris!$A$1:$Q$262,7,FALSE)</f>
        <v>0</v>
      </c>
      <c r="AG54" s="32">
        <f>VLOOKUP($A54,kurspris!$A$1:$Q$262,8,FALSE)</f>
        <v>0</v>
      </c>
      <c r="AH54" s="32">
        <f>VLOOKUP($A54,kurspris!$A$1:$Q$262,9,FALSE)</f>
        <v>0</v>
      </c>
      <c r="AI54" s="32">
        <f>VLOOKUP($A54,kurspris!$A$1:$Q$262,10,FALSE)</f>
        <v>1</v>
      </c>
      <c r="AJ54" s="32">
        <f>VLOOKUP($A54,kurspris!$A$1:$Q$262,11,FALSE)</f>
        <v>0</v>
      </c>
      <c r="AK54" s="32">
        <f>VLOOKUP($A54,kurspris!$A$1:$Q$262,12,FALSE)</f>
        <v>0</v>
      </c>
      <c r="AL54" s="32">
        <f>VLOOKUP($A54,kurspris!$A$1:$Q$262,13,FALSE)</f>
        <v>0</v>
      </c>
      <c r="AM54" s="32">
        <f>VLOOKUP($A54,kurspris!$A$1:$Q$262,14,FALSE)</f>
        <v>0</v>
      </c>
      <c r="AN54" s="38" t="s">
        <v>917</v>
      </c>
      <c r="AO54"/>
      <c r="AP54" s="32">
        <f t="shared" si="31"/>
        <v>0</v>
      </c>
      <c r="AQ54" s="234">
        <f t="shared" si="32"/>
        <v>0</v>
      </c>
      <c r="AR54" s="32">
        <f t="shared" si="33"/>
        <v>0</v>
      </c>
      <c r="AS54" s="234">
        <f t="shared" si="34"/>
        <v>0</v>
      </c>
      <c r="AT54" s="32">
        <f t="shared" si="35"/>
        <v>0</v>
      </c>
      <c r="AU54" s="32">
        <f t="shared" si="36"/>
        <v>0</v>
      </c>
      <c r="AV54" s="32">
        <f t="shared" si="37"/>
        <v>0</v>
      </c>
      <c r="AW54" s="234">
        <f t="shared" si="38"/>
        <v>0</v>
      </c>
      <c r="AX54" s="226">
        <f t="shared" si="39"/>
        <v>0</v>
      </c>
      <c r="AY54" s="234">
        <f t="shared" si="40"/>
        <v>0</v>
      </c>
      <c r="AZ54" s="32">
        <f t="shared" si="41"/>
        <v>0</v>
      </c>
      <c r="BA54" s="234">
        <f t="shared" si="42"/>
        <v>0</v>
      </c>
      <c r="BB54" s="32">
        <f t="shared" si="43"/>
        <v>0</v>
      </c>
      <c r="BC54" s="234">
        <f t="shared" si="44"/>
        <v>0</v>
      </c>
      <c r="BD54" s="32">
        <f t="shared" si="45"/>
        <v>0.250000002</v>
      </c>
      <c r="BE54" s="234">
        <f t="shared" si="46"/>
        <v>0.250000002</v>
      </c>
      <c r="BF54" s="32">
        <f t="shared" si="47"/>
        <v>0</v>
      </c>
      <c r="BG54" s="234">
        <f t="shared" si="48"/>
        <v>0</v>
      </c>
      <c r="BH54" s="32">
        <f t="shared" si="49"/>
        <v>0</v>
      </c>
      <c r="BI54" s="32">
        <f t="shared" si="50"/>
        <v>0</v>
      </c>
      <c r="BJ54" s="234">
        <f t="shared" si="51"/>
        <v>0</v>
      </c>
      <c r="BK54" s="32">
        <f t="shared" si="52"/>
        <v>0</v>
      </c>
      <c r="BL54" s="234">
        <f t="shared" si="53"/>
        <v>0</v>
      </c>
    </row>
    <row r="55" spans="1:64" ht="15" customHeight="1" x14ac:dyDescent="0.25">
      <c r="A55" s="32" t="s">
        <v>683</v>
      </c>
      <c r="B55" s="26" t="str">
        <f>VLOOKUP(A55,kurspris!$A$1:$B$304,2,FALSE)</f>
        <v>Slöjd 1, textil</v>
      </c>
      <c r="C55" s="351"/>
      <c r="D55" s="32" t="s">
        <v>74</v>
      </c>
      <c r="E55" s="59"/>
      <c r="F55" s="56" t="s">
        <v>892</v>
      </c>
      <c r="H55" s="59"/>
      <c r="K55" s="37"/>
      <c r="L55" s="32">
        <v>50</v>
      </c>
      <c r="M55" s="32">
        <v>15</v>
      </c>
      <c r="N55" s="32">
        <v>1</v>
      </c>
      <c r="O55" s="234">
        <v>0.250000002</v>
      </c>
      <c r="P55" s="39">
        <v>1</v>
      </c>
      <c r="Q55" s="234">
        <f t="shared" si="27"/>
        <v>0.250000002</v>
      </c>
      <c r="R55" s="32">
        <f>VLOOKUP(A55,'Ansvar kurs'!$A$1:$C$399,2,FALSE)</f>
        <v>1650</v>
      </c>
      <c r="S55" s="32" t="str">
        <f>VLOOKUP(R55,Orgenheter!$A$1:$C$166,2,FALSE)</f>
        <v xml:space="preserve">Estetiska ämnen               </v>
      </c>
      <c r="T55" s="32" t="str">
        <f>VLOOKUP(R55,Orgenheter!$A$1:$C$166,3,FALSE)</f>
        <v>Hum</v>
      </c>
      <c r="U55" s="37" t="str">
        <f>VLOOKUP(D55,Program!$A$1:$B$34,2,FALSE)</f>
        <v>VAL-projektet</v>
      </c>
      <c r="V55" s="41">
        <f>VLOOKUP(A55,kurspris!$A$1:$Q$225,15,FALSE)</f>
        <v>19863</v>
      </c>
      <c r="W55" s="41">
        <f>VLOOKUP(A55,kurspris!$A$1:$Q$225,16,FALSE)</f>
        <v>35472</v>
      </c>
      <c r="X55" s="41">
        <f t="shared" si="28"/>
        <v>13833.75011067</v>
      </c>
      <c r="Y55" s="41">
        <f>VLOOKUP(A55,kurspris!$A$1:$Q$225,17,FALSE)</f>
        <v>22200</v>
      </c>
      <c r="Z55" s="41">
        <f t="shared" si="29"/>
        <v>5550.0000443999998</v>
      </c>
      <c r="AA55" s="41">
        <f t="shared" si="30"/>
        <v>19383.75015507</v>
      </c>
      <c r="AB55" s="32">
        <f>VLOOKUP($A55,kurspris!$A$1:$Q$262,3,FALSE)</f>
        <v>0</v>
      </c>
      <c r="AC55" s="32">
        <f>VLOOKUP($A55,kurspris!$A$1:$Q$262,4,FALSE)</f>
        <v>0</v>
      </c>
      <c r="AD55" s="32">
        <f>VLOOKUP($A55,kurspris!$A$1:$Q$262,5,FALSE)</f>
        <v>0</v>
      </c>
      <c r="AE55" s="32">
        <f>VLOOKUP($A55,kurspris!$A$1:$Q$262,6,FALSE)</f>
        <v>0</v>
      </c>
      <c r="AF55" s="32">
        <f>VLOOKUP($A55,kurspris!$A$1:$Q$262,7,FALSE)</f>
        <v>0</v>
      </c>
      <c r="AG55" s="32">
        <f>VLOOKUP($A55,kurspris!$A$1:$Q$262,8,FALSE)</f>
        <v>0</v>
      </c>
      <c r="AH55" s="32">
        <f>VLOOKUP($A55,kurspris!$A$1:$Q$262,9,FALSE)</f>
        <v>0</v>
      </c>
      <c r="AI55" s="32">
        <f>VLOOKUP($A55,kurspris!$A$1:$Q$262,10,FALSE)</f>
        <v>1</v>
      </c>
      <c r="AJ55" s="32">
        <f>VLOOKUP($A55,kurspris!$A$1:$Q$262,11,FALSE)</f>
        <v>0</v>
      </c>
      <c r="AK55" s="32">
        <f>VLOOKUP($A55,kurspris!$A$1:$Q$262,12,FALSE)</f>
        <v>0</v>
      </c>
      <c r="AL55" s="32">
        <f>VLOOKUP($A55,kurspris!$A$1:$Q$262,13,FALSE)</f>
        <v>0</v>
      </c>
      <c r="AM55" s="32">
        <f>VLOOKUP($A55,kurspris!$A$1:$Q$262,14,FALSE)</f>
        <v>0</v>
      </c>
      <c r="AN55" s="38" t="s">
        <v>917</v>
      </c>
      <c r="AO55"/>
      <c r="AP55" s="32">
        <f t="shared" si="31"/>
        <v>0</v>
      </c>
      <c r="AQ55" s="234">
        <f t="shared" si="32"/>
        <v>0</v>
      </c>
      <c r="AR55" s="32">
        <f t="shared" si="33"/>
        <v>0</v>
      </c>
      <c r="AS55" s="234">
        <f t="shared" si="34"/>
        <v>0</v>
      </c>
      <c r="AT55" s="32">
        <f t="shared" si="35"/>
        <v>0</v>
      </c>
      <c r="AU55" s="32">
        <f t="shared" si="36"/>
        <v>0</v>
      </c>
      <c r="AV55" s="32">
        <f t="shared" si="37"/>
        <v>0</v>
      </c>
      <c r="AW55" s="234">
        <f t="shared" si="38"/>
        <v>0</v>
      </c>
      <c r="AX55" s="226">
        <f t="shared" si="39"/>
        <v>0</v>
      </c>
      <c r="AY55" s="234">
        <f t="shared" si="40"/>
        <v>0</v>
      </c>
      <c r="AZ55" s="32">
        <f t="shared" si="41"/>
        <v>0</v>
      </c>
      <c r="BA55" s="234">
        <f t="shared" si="42"/>
        <v>0</v>
      </c>
      <c r="BB55" s="32">
        <f t="shared" si="43"/>
        <v>0</v>
      </c>
      <c r="BC55" s="234">
        <f t="shared" si="44"/>
        <v>0</v>
      </c>
      <c r="BD55" s="32">
        <f t="shared" si="45"/>
        <v>0.250000002</v>
      </c>
      <c r="BE55" s="234">
        <f t="shared" si="46"/>
        <v>0.250000002</v>
      </c>
      <c r="BF55" s="32">
        <f t="shared" si="47"/>
        <v>0</v>
      </c>
      <c r="BG55" s="234">
        <f t="shared" si="48"/>
        <v>0</v>
      </c>
      <c r="BH55" s="32">
        <f t="shared" si="49"/>
        <v>0</v>
      </c>
      <c r="BI55" s="32">
        <f t="shared" si="50"/>
        <v>0</v>
      </c>
      <c r="BJ55" s="234">
        <f t="shared" si="51"/>
        <v>0</v>
      </c>
      <c r="BK55" s="32">
        <f t="shared" si="52"/>
        <v>0</v>
      </c>
      <c r="BL55" s="234">
        <f t="shared" si="53"/>
        <v>0</v>
      </c>
    </row>
    <row r="56" spans="1:64" ht="15" customHeight="1" x14ac:dyDescent="0.25">
      <c r="A56" s="221" t="s">
        <v>717</v>
      </c>
      <c r="B56" s="26" t="str">
        <f>VLOOKUP(A56,kurspris!$A$1:$B$304,2,FALSE)</f>
        <v>Väv- och kläddesign fördjupning</v>
      </c>
      <c r="C56" s="56"/>
      <c r="D56" s="32" t="s">
        <v>74</v>
      </c>
      <c r="E56" s="59"/>
      <c r="F56" s="56" t="s">
        <v>892</v>
      </c>
      <c r="G56" s="59"/>
      <c r="H56" s="59"/>
      <c r="K56" s="37"/>
      <c r="L56" s="32">
        <v>50</v>
      </c>
      <c r="M56" s="32">
        <v>15</v>
      </c>
      <c r="N56" s="32">
        <v>2</v>
      </c>
      <c r="O56" s="234">
        <v>0.500000004</v>
      </c>
      <c r="P56" s="39">
        <v>1</v>
      </c>
      <c r="Q56" s="234">
        <f t="shared" si="27"/>
        <v>0.500000004</v>
      </c>
      <c r="R56" s="32">
        <f>VLOOKUP(A56,'Ansvar kurs'!$A$1:$C$399,2,FALSE)</f>
        <v>1650</v>
      </c>
      <c r="S56" s="32" t="str">
        <f>VLOOKUP(R56,Orgenheter!$A$1:$C$166,2,FALSE)</f>
        <v xml:space="preserve">Estetiska ämnen               </v>
      </c>
      <c r="T56" s="32" t="str">
        <f>VLOOKUP(R56,Orgenheter!$A$1:$C$166,3,FALSE)</f>
        <v>Hum</v>
      </c>
      <c r="U56" s="37" t="str">
        <f>VLOOKUP(D56,Program!$A$1:$B$34,2,FALSE)</f>
        <v>VAL-projektet</v>
      </c>
      <c r="V56" s="41">
        <f>VLOOKUP(A56,kurspris!$A$1:$Q$225,15,FALSE)</f>
        <v>19097</v>
      </c>
      <c r="W56" s="41">
        <f>VLOOKUP(A56,kurspris!$A$1:$Q$225,16,FALSE)</f>
        <v>16075</v>
      </c>
      <c r="X56" s="41">
        <f t="shared" si="28"/>
        <v>17586.000140688</v>
      </c>
      <c r="Y56" s="41">
        <f>VLOOKUP(A56,kurspris!$A$1:$Q$225,17,FALSE)</f>
        <v>5900</v>
      </c>
      <c r="Z56" s="41">
        <f t="shared" si="29"/>
        <v>2950.0000236000001</v>
      </c>
      <c r="AA56" s="41">
        <f t="shared" si="30"/>
        <v>20536.000164288002</v>
      </c>
      <c r="AB56" s="32">
        <f>VLOOKUP($A56,kurspris!$A$1:$Q$262,3,FALSE)</f>
        <v>0</v>
      </c>
      <c r="AC56" s="32">
        <f>VLOOKUP($A56,kurspris!$A$1:$Q$262,4,FALSE)</f>
        <v>1</v>
      </c>
      <c r="AD56" s="32">
        <f>VLOOKUP($A56,kurspris!$A$1:$Q$262,5,FALSE)</f>
        <v>0</v>
      </c>
      <c r="AE56" s="32">
        <f>VLOOKUP($A56,kurspris!$A$1:$Q$262,6,FALSE)</f>
        <v>0</v>
      </c>
      <c r="AF56" s="32">
        <f>VLOOKUP($A56,kurspris!$A$1:$Q$262,7,FALSE)</f>
        <v>0</v>
      </c>
      <c r="AG56" s="32">
        <f>VLOOKUP($A56,kurspris!$A$1:$Q$262,8,FALSE)</f>
        <v>0</v>
      </c>
      <c r="AH56" s="32">
        <f>VLOOKUP($A56,kurspris!$A$1:$Q$262,9,FALSE)</f>
        <v>0</v>
      </c>
      <c r="AI56" s="32">
        <f>VLOOKUP($A56,kurspris!$A$1:$Q$262,10,FALSE)</f>
        <v>0</v>
      </c>
      <c r="AJ56" s="32">
        <f>VLOOKUP($A56,kurspris!$A$1:$Q$262,11,FALSE)</f>
        <v>0</v>
      </c>
      <c r="AK56" s="32">
        <f>VLOOKUP($A56,kurspris!$A$1:$Q$262,12,FALSE)</f>
        <v>0</v>
      </c>
      <c r="AL56" s="32">
        <f>VLOOKUP($A56,kurspris!$A$1:$Q$262,13,FALSE)</f>
        <v>0</v>
      </c>
      <c r="AM56" s="32">
        <f>VLOOKUP($A56,kurspris!$A$1:$Q$262,14,FALSE)</f>
        <v>0</v>
      </c>
      <c r="AN56" s="38" t="s">
        <v>917</v>
      </c>
      <c r="AO56"/>
      <c r="AP56" s="32">
        <f t="shared" si="31"/>
        <v>0</v>
      </c>
      <c r="AQ56" s="234">
        <f t="shared" si="32"/>
        <v>0</v>
      </c>
      <c r="AR56" s="32">
        <f t="shared" si="33"/>
        <v>0.500000004</v>
      </c>
      <c r="AS56" s="234">
        <f t="shared" si="34"/>
        <v>0.500000004</v>
      </c>
      <c r="AT56" s="32">
        <f t="shared" si="35"/>
        <v>0</v>
      </c>
      <c r="AU56" s="32">
        <f t="shared" si="36"/>
        <v>0</v>
      </c>
      <c r="AV56" s="32">
        <f t="shared" si="37"/>
        <v>0</v>
      </c>
      <c r="AW56" s="234">
        <f t="shared" si="38"/>
        <v>0</v>
      </c>
      <c r="AX56" s="226">
        <f t="shared" si="39"/>
        <v>0</v>
      </c>
      <c r="AY56" s="234">
        <f t="shared" si="40"/>
        <v>0</v>
      </c>
      <c r="AZ56" s="32">
        <f t="shared" si="41"/>
        <v>0</v>
      </c>
      <c r="BA56" s="234">
        <f t="shared" si="42"/>
        <v>0</v>
      </c>
      <c r="BB56" s="32">
        <f t="shared" si="43"/>
        <v>0</v>
      </c>
      <c r="BC56" s="234">
        <f t="shared" si="44"/>
        <v>0</v>
      </c>
      <c r="BD56" s="32">
        <f t="shared" si="45"/>
        <v>0</v>
      </c>
      <c r="BE56" s="234">
        <f t="shared" si="46"/>
        <v>0</v>
      </c>
      <c r="BF56" s="32">
        <f t="shared" si="47"/>
        <v>0</v>
      </c>
      <c r="BG56" s="234">
        <f t="shared" si="48"/>
        <v>0</v>
      </c>
      <c r="BH56" s="32">
        <f t="shared" si="49"/>
        <v>0</v>
      </c>
      <c r="BI56" s="32">
        <f t="shared" si="50"/>
        <v>0</v>
      </c>
      <c r="BJ56" s="234">
        <f t="shared" si="51"/>
        <v>0</v>
      </c>
      <c r="BK56" s="32">
        <f t="shared" si="52"/>
        <v>0</v>
      </c>
      <c r="BL56" s="234">
        <f t="shared" si="53"/>
        <v>0</v>
      </c>
    </row>
    <row r="57" spans="1:64" ht="15" customHeight="1" x14ac:dyDescent="0.25">
      <c r="A57" s="221" t="s">
        <v>518</v>
      </c>
      <c r="B57" s="26" t="str">
        <f>VLOOKUP(A57,kurspris!$A$1:$B$304,2,FALSE)</f>
        <v>Engelska A1, nätkurs</v>
      </c>
      <c r="C57" s="56"/>
      <c r="D57" s="32" t="s">
        <v>74</v>
      </c>
      <c r="E57" s="59" t="s">
        <v>925</v>
      </c>
      <c r="F57" s="59" t="s">
        <v>933</v>
      </c>
      <c r="G57" s="59" t="s">
        <v>934</v>
      </c>
      <c r="H57" s="59"/>
      <c r="K57" s="37"/>
      <c r="L57" s="32">
        <v>50</v>
      </c>
      <c r="M57" s="32">
        <v>15</v>
      </c>
      <c r="N57" s="32">
        <v>1</v>
      </c>
      <c r="O57" s="234">
        <f t="shared" ref="O57:O65" si="54">N57*M57/60</f>
        <v>0.25</v>
      </c>
      <c r="P57" s="39">
        <v>1</v>
      </c>
      <c r="Q57" s="234">
        <f t="shared" si="27"/>
        <v>0.25</v>
      </c>
      <c r="R57" s="32">
        <f>VLOOKUP(A57,'Ansvar kurs'!$A$1:$C$399,2,FALSE)</f>
        <v>1620</v>
      </c>
      <c r="S57" s="32" t="str">
        <f>VLOOKUP(R57,Orgenheter!$A$1:$C$166,2,FALSE)</f>
        <v>Inst för språkstudier</v>
      </c>
      <c r="T57" s="32" t="str">
        <f>VLOOKUP(R57,Orgenheter!$A$1:$C$166,3,FALSE)</f>
        <v>Hum</v>
      </c>
      <c r="U57" s="37" t="str">
        <f>VLOOKUP(D57,Program!$A$1:$B$34,2,FALSE)</f>
        <v>VAL-projektet</v>
      </c>
      <c r="V57" s="41">
        <f>VLOOKUP(A57,kurspris!$A$1:$Q$225,15,FALSE)</f>
        <v>19097</v>
      </c>
      <c r="W57" s="41">
        <f>VLOOKUP(A57,kurspris!$A$1:$Q$225,16,FALSE)</f>
        <v>16075</v>
      </c>
      <c r="X57" s="41">
        <f t="shared" si="28"/>
        <v>8793</v>
      </c>
      <c r="Y57" s="41">
        <f>VLOOKUP(A57,kurspris!$A$1:$Q$225,17,FALSE)</f>
        <v>5900</v>
      </c>
      <c r="Z57" s="41">
        <f t="shared" si="29"/>
        <v>1475</v>
      </c>
      <c r="AA57" s="41">
        <f t="shared" si="30"/>
        <v>10268</v>
      </c>
      <c r="AB57" s="32">
        <f>VLOOKUP($A57,kurspris!$A$1:$Q$262,3,FALSE)</f>
        <v>0</v>
      </c>
      <c r="AC57" s="32">
        <f>VLOOKUP($A57,kurspris!$A$1:$Q$262,4,FALSE)</f>
        <v>1</v>
      </c>
      <c r="AD57" s="32">
        <f>VLOOKUP($A57,kurspris!$A$1:$Q$262,5,FALSE)</f>
        <v>0</v>
      </c>
      <c r="AE57" s="32">
        <f>VLOOKUP($A57,kurspris!$A$1:$Q$262,6,FALSE)</f>
        <v>0</v>
      </c>
      <c r="AF57" s="32">
        <f>VLOOKUP($A57,kurspris!$A$1:$Q$262,7,FALSE)</f>
        <v>0</v>
      </c>
      <c r="AG57" s="32">
        <f>VLOOKUP($A57,kurspris!$A$1:$Q$262,8,FALSE)</f>
        <v>0</v>
      </c>
      <c r="AH57" s="32">
        <f>VLOOKUP($A57,kurspris!$A$1:$Q$262,9,FALSE)</f>
        <v>0</v>
      </c>
      <c r="AI57" s="32">
        <f>VLOOKUP($A57,kurspris!$A$1:$Q$262,10,FALSE)</f>
        <v>0</v>
      </c>
      <c r="AJ57" s="32">
        <f>VLOOKUP($A57,kurspris!$A$1:$Q$262,11,FALSE)</f>
        <v>0</v>
      </c>
      <c r="AK57" s="32">
        <f>VLOOKUP($A57,kurspris!$A$1:$Q$262,12,FALSE)</f>
        <v>0</v>
      </c>
      <c r="AL57" s="32">
        <f>VLOOKUP($A57,kurspris!$A$1:$Q$262,13,FALSE)</f>
        <v>0</v>
      </c>
      <c r="AM57" s="32">
        <f>VLOOKUP($A57,kurspris!$A$1:$Q$262,14,FALSE)</f>
        <v>0</v>
      </c>
      <c r="AN57" s="38" t="s">
        <v>946</v>
      </c>
      <c r="AO57"/>
      <c r="AP57" s="32">
        <f t="shared" si="31"/>
        <v>0</v>
      </c>
      <c r="AQ57" s="234">
        <f t="shared" si="32"/>
        <v>0</v>
      </c>
      <c r="AR57" s="32">
        <f t="shared" si="33"/>
        <v>0.25</v>
      </c>
      <c r="AS57" s="234">
        <f t="shared" si="34"/>
        <v>0.25</v>
      </c>
      <c r="AT57" s="32">
        <f t="shared" si="35"/>
        <v>0</v>
      </c>
      <c r="AU57" s="32">
        <f t="shared" si="36"/>
        <v>0</v>
      </c>
      <c r="AV57" s="32">
        <f t="shared" si="37"/>
        <v>0</v>
      </c>
      <c r="AW57" s="234">
        <f t="shared" si="38"/>
        <v>0</v>
      </c>
      <c r="AX57" s="226">
        <f t="shared" si="39"/>
        <v>0</v>
      </c>
      <c r="AY57" s="234">
        <f t="shared" si="40"/>
        <v>0</v>
      </c>
      <c r="AZ57" s="32">
        <f t="shared" si="41"/>
        <v>0</v>
      </c>
      <c r="BA57" s="234">
        <f t="shared" si="42"/>
        <v>0</v>
      </c>
      <c r="BB57" s="32">
        <f t="shared" si="43"/>
        <v>0</v>
      </c>
      <c r="BC57" s="234">
        <f t="shared" si="44"/>
        <v>0</v>
      </c>
      <c r="BD57" s="32">
        <f t="shared" si="45"/>
        <v>0</v>
      </c>
      <c r="BE57" s="234">
        <f t="shared" si="46"/>
        <v>0</v>
      </c>
      <c r="BF57" s="32">
        <f t="shared" si="47"/>
        <v>0</v>
      </c>
      <c r="BG57" s="234">
        <f t="shared" si="48"/>
        <v>0</v>
      </c>
      <c r="BH57" s="32">
        <f t="shared" si="49"/>
        <v>0</v>
      </c>
      <c r="BI57" s="32">
        <f t="shared" si="50"/>
        <v>0</v>
      </c>
      <c r="BJ57" s="234">
        <f t="shared" si="51"/>
        <v>0</v>
      </c>
      <c r="BK57" s="32">
        <f t="shared" si="52"/>
        <v>0</v>
      </c>
      <c r="BL57" s="234">
        <f t="shared" si="53"/>
        <v>0</v>
      </c>
    </row>
    <row r="58" spans="1:64" ht="15" customHeight="1" x14ac:dyDescent="0.25">
      <c r="A58" s="221" t="s">
        <v>568</v>
      </c>
      <c r="B58" s="26" t="str">
        <f>VLOOKUP(A58,kurspris!$A$1:$B$304,2,FALSE)</f>
        <v>Engelska B1, nätkurs</v>
      </c>
      <c r="C58" s="56"/>
      <c r="D58" s="32" t="s">
        <v>74</v>
      </c>
      <c r="E58" s="59" t="s">
        <v>926</v>
      </c>
      <c r="F58" s="59" t="s">
        <v>933</v>
      </c>
      <c r="G58" s="59" t="s">
        <v>934</v>
      </c>
      <c r="H58" s="59"/>
      <c r="K58" s="37"/>
      <c r="L58" s="32">
        <v>50</v>
      </c>
      <c r="M58" s="32">
        <v>15</v>
      </c>
      <c r="N58" s="32">
        <v>1</v>
      </c>
      <c r="O58" s="234">
        <f t="shared" si="54"/>
        <v>0.25</v>
      </c>
      <c r="P58" s="39">
        <v>1</v>
      </c>
      <c r="Q58" s="234">
        <f t="shared" si="27"/>
        <v>0.25</v>
      </c>
      <c r="R58" s="32">
        <f>VLOOKUP(A58,'Ansvar kurs'!$A$1:$C$399,2,FALSE)</f>
        <v>1620</v>
      </c>
      <c r="S58" s="32" t="str">
        <f>VLOOKUP(R58,Orgenheter!$A$1:$C$166,2,FALSE)</f>
        <v>Inst för språkstudier</v>
      </c>
      <c r="T58" s="32" t="str">
        <f>VLOOKUP(R58,Orgenheter!$A$1:$C$166,3,FALSE)</f>
        <v>Hum</v>
      </c>
      <c r="U58" s="37" t="str">
        <f>VLOOKUP(D58,Program!$A$1:$B$34,2,FALSE)</f>
        <v>VAL-projektet</v>
      </c>
      <c r="V58" s="41">
        <f>VLOOKUP(A58,kurspris!$A$1:$Q$225,15,FALSE)</f>
        <v>19097</v>
      </c>
      <c r="W58" s="41">
        <f>VLOOKUP(A58,kurspris!$A$1:$Q$225,16,FALSE)</f>
        <v>16075</v>
      </c>
      <c r="X58" s="41">
        <f t="shared" si="28"/>
        <v>8793</v>
      </c>
      <c r="Y58" s="41">
        <f>VLOOKUP(A58,kurspris!$A$1:$Q$225,17,FALSE)</f>
        <v>5900</v>
      </c>
      <c r="Z58" s="41">
        <f t="shared" si="29"/>
        <v>1475</v>
      </c>
      <c r="AA58" s="41">
        <f t="shared" si="30"/>
        <v>10268</v>
      </c>
      <c r="AB58" s="32">
        <f>VLOOKUP($A58,kurspris!$A$1:$Q$262,3,FALSE)</f>
        <v>0</v>
      </c>
      <c r="AC58" s="32">
        <f>VLOOKUP($A58,kurspris!$A$1:$Q$262,4,FALSE)</f>
        <v>1</v>
      </c>
      <c r="AD58" s="32">
        <f>VLOOKUP($A58,kurspris!$A$1:$Q$262,5,FALSE)</f>
        <v>0</v>
      </c>
      <c r="AE58" s="32">
        <f>VLOOKUP($A58,kurspris!$A$1:$Q$262,6,FALSE)</f>
        <v>0</v>
      </c>
      <c r="AF58" s="32">
        <f>VLOOKUP($A58,kurspris!$A$1:$Q$262,7,FALSE)</f>
        <v>0</v>
      </c>
      <c r="AG58" s="32">
        <f>VLOOKUP($A58,kurspris!$A$1:$Q$262,8,FALSE)</f>
        <v>0</v>
      </c>
      <c r="AH58" s="32">
        <f>VLOOKUP($A58,kurspris!$A$1:$Q$262,9,FALSE)</f>
        <v>0</v>
      </c>
      <c r="AI58" s="32">
        <f>VLOOKUP($A58,kurspris!$A$1:$Q$262,10,FALSE)</f>
        <v>0</v>
      </c>
      <c r="AJ58" s="32">
        <f>VLOOKUP($A58,kurspris!$A$1:$Q$262,11,FALSE)</f>
        <v>0</v>
      </c>
      <c r="AK58" s="32">
        <f>VLOOKUP($A58,kurspris!$A$1:$Q$262,12,FALSE)</f>
        <v>0</v>
      </c>
      <c r="AL58" s="32">
        <f>VLOOKUP($A58,kurspris!$A$1:$Q$262,13,FALSE)</f>
        <v>0</v>
      </c>
      <c r="AM58" s="32">
        <f>VLOOKUP($A58,kurspris!$A$1:$Q$262,14,FALSE)</f>
        <v>0</v>
      </c>
      <c r="AN58" s="38" t="s">
        <v>946</v>
      </c>
      <c r="AP58" s="32">
        <f t="shared" si="31"/>
        <v>0</v>
      </c>
      <c r="AQ58" s="234">
        <f t="shared" si="32"/>
        <v>0</v>
      </c>
      <c r="AR58" s="32">
        <f t="shared" si="33"/>
        <v>0.25</v>
      </c>
      <c r="AS58" s="234">
        <f t="shared" si="34"/>
        <v>0.25</v>
      </c>
      <c r="AT58" s="32">
        <f t="shared" si="35"/>
        <v>0</v>
      </c>
      <c r="AU58" s="32">
        <f t="shared" si="36"/>
        <v>0</v>
      </c>
      <c r="AV58" s="32">
        <f t="shared" si="37"/>
        <v>0</v>
      </c>
      <c r="AW58" s="234">
        <f t="shared" si="38"/>
        <v>0</v>
      </c>
      <c r="AX58" s="226">
        <f t="shared" si="39"/>
        <v>0</v>
      </c>
      <c r="AY58" s="234">
        <f t="shared" si="40"/>
        <v>0</v>
      </c>
      <c r="AZ58" s="32">
        <f t="shared" si="41"/>
        <v>0</v>
      </c>
      <c r="BA58" s="234">
        <f t="shared" si="42"/>
        <v>0</v>
      </c>
      <c r="BB58" s="32">
        <f t="shared" si="43"/>
        <v>0</v>
      </c>
      <c r="BC58" s="234">
        <f t="shared" si="44"/>
        <v>0</v>
      </c>
      <c r="BD58" s="32">
        <f t="shared" si="45"/>
        <v>0</v>
      </c>
      <c r="BE58" s="234">
        <f t="shared" si="46"/>
        <v>0</v>
      </c>
      <c r="BF58" s="32">
        <f t="shared" si="47"/>
        <v>0</v>
      </c>
      <c r="BG58" s="234">
        <f t="shared" si="48"/>
        <v>0</v>
      </c>
      <c r="BH58" s="32">
        <f t="shared" si="49"/>
        <v>0</v>
      </c>
      <c r="BI58" s="32">
        <f t="shared" si="50"/>
        <v>0</v>
      </c>
      <c r="BJ58" s="234">
        <f t="shared" si="51"/>
        <v>0</v>
      </c>
      <c r="BK58" s="32">
        <f t="shared" si="52"/>
        <v>0</v>
      </c>
      <c r="BL58" s="234">
        <f t="shared" si="53"/>
        <v>0</v>
      </c>
    </row>
    <row r="59" spans="1:64" ht="15" customHeight="1" x14ac:dyDescent="0.25">
      <c r="A59" s="221" t="s">
        <v>857</v>
      </c>
      <c r="B59" s="26" t="str">
        <f>VLOOKUP(A59,kurspris!$A$1:$B$304,2,FALSE)</f>
        <v>Engelska C</v>
      </c>
      <c r="C59" s="56"/>
      <c r="D59" s="32" t="s">
        <v>74</v>
      </c>
      <c r="E59" s="59" t="s">
        <v>925</v>
      </c>
      <c r="F59" s="59" t="s">
        <v>933</v>
      </c>
      <c r="G59" s="59" t="s">
        <v>934</v>
      </c>
      <c r="H59" s="59"/>
      <c r="K59" s="37"/>
      <c r="L59" s="32">
        <v>50</v>
      </c>
      <c r="M59" s="32">
        <v>15</v>
      </c>
      <c r="N59" s="32">
        <v>2</v>
      </c>
      <c r="O59" s="234">
        <f t="shared" si="54"/>
        <v>0.5</v>
      </c>
      <c r="P59" s="39">
        <v>1</v>
      </c>
      <c r="Q59" s="234">
        <f t="shared" si="27"/>
        <v>0.5</v>
      </c>
      <c r="R59" s="32">
        <f>VLOOKUP(A59,'Ansvar kurs'!$A$1:$C$399,2,FALSE)</f>
        <v>1620</v>
      </c>
      <c r="S59" s="32" t="str">
        <f>VLOOKUP(R59,Orgenheter!$A$1:$C$166,2,FALSE)</f>
        <v>Inst för språkstudier</v>
      </c>
      <c r="T59" s="32" t="str">
        <f>VLOOKUP(R59,Orgenheter!$A$1:$C$166,3,FALSE)</f>
        <v>Hum</v>
      </c>
      <c r="U59" s="37" t="str">
        <f>VLOOKUP(D59,Program!$A$1:$B$34,2,FALSE)</f>
        <v>VAL-projektet</v>
      </c>
      <c r="V59" s="41">
        <f>VLOOKUP(A59,kurspris!$A$1:$Q$225,15,FALSE)</f>
        <v>19097</v>
      </c>
      <c r="W59" s="41">
        <f>VLOOKUP(A59,kurspris!$A$1:$Q$225,16,FALSE)</f>
        <v>16075</v>
      </c>
      <c r="X59" s="41">
        <f t="shared" si="28"/>
        <v>17586</v>
      </c>
      <c r="Y59" s="41">
        <f>VLOOKUP(A59,kurspris!$A$1:$Q$225,17,FALSE)</f>
        <v>5900</v>
      </c>
      <c r="Z59" s="41">
        <f t="shared" si="29"/>
        <v>2950</v>
      </c>
      <c r="AA59" s="41">
        <f t="shared" si="30"/>
        <v>20536</v>
      </c>
      <c r="AB59" s="32">
        <f>VLOOKUP($A59,kurspris!$A$1:$Q$262,3,FALSE)</f>
        <v>0</v>
      </c>
      <c r="AC59" s="32">
        <f>VLOOKUP($A59,kurspris!$A$1:$Q$262,4,FALSE)</f>
        <v>1</v>
      </c>
      <c r="AD59" s="32">
        <f>VLOOKUP($A59,kurspris!$A$1:$Q$262,5,FALSE)</f>
        <v>0</v>
      </c>
      <c r="AE59" s="32">
        <f>VLOOKUP($A59,kurspris!$A$1:$Q$262,6,FALSE)</f>
        <v>0</v>
      </c>
      <c r="AF59" s="32">
        <f>VLOOKUP($A59,kurspris!$A$1:$Q$262,7,FALSE)</f>
        <v>0</v>
      </c>
      <c r="AG59" s="32">
        <f>VLOOKUP($A59,kurspris!$A$1:$Q$262,8,FALSE)</f>
        <v>0</v>
      </c>
      <c r="AH59" s="32">
        <f>VLOOKUP($A59,kurspris!$A$1:$Q$262,9,FALSE)</f>
        <v>0</v>
      </c>
      <c r="AI59" s="32">
        <f>VLOOKUP($A59,kurspris!$A$1:$Q$262,10,FALSE)</f>
        <v>0</v>
      </c>
      <c r="AJ59" s="32">
        <f>VLOOKUP($A59,kurspris!$A$1:$Q$262,11,FALSE)</f>
        <v>0</v>
      </c>
      <c r="AK59" s="32">
        <f>VLOOKUP($A59,kurspris!$A$1:$Q$262,12,FALSE)</f>
        <v>0</v>
      </c>
      <c r="AL59" s="32">
        <f>VLOOKUP($A59,kurspris!$A$1:$Q$262,13,FALSE)</f>
        <v>0</v>
      </c>
      <c r="AM59" s="32">
        <f>VLOOKUP($A59,kurspris!$A$1:$Q$262,14,FALSE)</f>
        <v>0</v>
      </c>
      <c r="AN59" s="38" t="s">
        <v>946</v>
      </c>
      <c r="AP59" s="32">
        <f t="shared" si="31"/>
        <v>0</v>
      </c>
      <c r="AQ59" s="234">
        <f t="shared" si="32"/>
        <v>0</v>
      </c>
      <c r="AR59" s="32">
        <f t="shared" si="33"/>
        <v>0.5</v>
      </c>
      <c r="AS59" s="234">
        <f t="shared" si="34"/>
        <v>0.5</v>
      </c>
      <c r="AT59" s="32">
        <f t="shared" si="35"/>
        <v>0</v>
      </c>
      <c r="AU59" s="32">
        <f t="shared" si="36"/>
        <v>0</v>
      </c>
      <c r="AV59" s="32">
        <f t="shared" si="37"/>
        <v>0</v>
      </c>
      <c r="AW59" s="234">
        <f t="shared" si="38"/>
        <v>0</v>
      </c>
      <c r="AX59" s="226">
        <f t="shared" si="39"/>
        <v>0</v>
      </c>
      <c r="AY59" s="234">
        <f t="shared" si="40"/>
        <v>0</v>
      </c>
      <c r="AZ59" s="32">
        <f t="shared" si="41"/>
        <v>0</v>
      </c>
      <c r="BA59" s="234">
        <f t="shared" si="42"/>
        <v>0</v>
      </c>
      <c r="BB59" s="32">
        <f t="shared" si="43"/>
        <v>0</v>
      </c>
      <c r="BC59" s="234">
        <f t="shared" si="44"/>
        <v>0</v>
      </c>
      <c r="BD59" s="32">
        <f t="shared" si="45"/>
        <v>0</v>
      </c>
      <c r="BE59" s="234">
        <f t="shared" si="46"/>
        <v>0</v>
      </c>
      <c r="BF59" s="32">
        <f t="shared" si="47"/>
        <v>0</v>
      </c>
      <c r="BG59" s="234">
        <f t="shared" si="48"/>
        <v>0</v>
      </c>
      <c r="BH59" s="32">
        <f t="shared" si="49"/>
        <v>0</v>
      </c>
      <c r="BI59" s="32">
        <f t="shared" si="50"/>
        <v>0</v>
      </c>
      <c r="BJ59" s="234">
        <f t="shared" si="51"/>
        <v>0</v>
      </c>
      <c r="BK59" s="32">
        <f t="shared" si="52"/>
        <v>0</v>
      </c>
      <c r="BL59" s="234">
        <f t="shared" si="53"/>
        <v>0</v>
      </c>
    </row>
    <row r="60" spans="1:64" ht="15" customHeight="1" x14ac:dyDescent="0.25">
      <c r="A60" s="221" t="s">
        <v>920</v>
      </c>
      <c r="B60" s="26" t="str">
        <f>VLOOKUP(A60,kurspris!$A$1:$B$304,2,FALSE)</f>
        <v>Historia A</v>
      </c>
      <c r="C60" s="56"/>
      <c r="D60" s="32" t="s">
        <v>74</v>
      </c>
      <c r="E60" s="59" t="s">
        <v>925</v>
      </c>
      <c r="F60" s="59" t="s">
        <v>933</v>
      </c>
      <c r="G60" s="59" t="s">
        <v>935</v>
      </c>
      <c r="H60" s="59"/>
      <c r="K60" s="37"/>
      <c r="L60" s="32">
        <v>50</v>
      </c>
      <c r="M60" s="418">
        <v>15</v>
      </c>
      <c r="N60" s="32">
        <v>1</v>
      </c>
      <c r="O60" s="234">
        <f t="shared" si="54"/>
        <v>0.25</v>
      </c>
      <c r="P60" s="39">
        <v>1</v>
      </c>
      <c r="Q60" s="234">
        <f t="shared" si="27"/>
        <v>0.25</v>
      </c>
      <c r="R60" s="32">
        <f>VLOOKUP(A60,'Ansvar kurs'!$A$1:$C$399,2,FALSE)</f>
        <v>1630</v>
      </c>
      <c r="S60" s="32" t="str">
        <f>VLOOKUP(R60,Orgenheter!$A$1:$C$166,2,FALSE)</f>
        <v>Inst för ide- o samhällsstudier</v>
      </c>
      <c r="T60" s="32" t="str">
        <f>VLOOKUP(R60,Orgenheter!$A$1:$C$166,3,FALSE)</f>
        <v>Hum</v>
      </c>
      <c r="U60" s="37" t="str">
        <f>VLOOKUP(D60,Program!$A$1:$B$34,2,FALSE)</f>
        <v>VAL-projektet</v>
      </c>
      <c r="V60" s="41">
        <f>VLOOKUP(A60,kurspris!$A$1:$Q$225,15,FALSE)</f>
        <v>19097</v>
      </c>
      <c r="W60" s="41">
        <f>VLOOKUP(A60,kurspris!$A$1:$Q$225,16,FALSE)</f>
        <v>16075</v>
      </c>
      <c r="X60" s="41">
        <f t="shared" si="28"/>
        <v>8793</v>
      </c>
      <c r="Y60" s="41">
        <f>VLOOKUP(A60,kurspris!$A$1:$Q$225,17,FALSE)</f>
        <v>5900</v>
      </c>
      <c r="Z60" s="41">
        <f t="shared" si="29"/>
        <v>1475</v>
      </c>
      <c r="AA60" s="41">
        <f t="shared" si="30"/>
        <v>10268</v>
      </c>
      <c r="AB60" s="32">
        <f>VLOOKUP($A60,kurspris!$A$1:$Q$262,3,FALSE)</f>
        <v>0</v>
      </c>
      <c r="AC60" s="32">
        <f>VLOOKUP($A60,kurspris!$A$1:$Q$262,4,FALSE)</f>
        <v>1</v>
      </c>
      <c r="AD60" s="32">
        <f>VLOOKUP($A60,kurspris!$A$1:$Q$262,5,FALSE)</f>
        <v>0</v>
      </c>
      <c r="AE60" s="32">
        <f>VLOOKUP($A60,kurspris!$A$1:$Q$262,6,FALSE)</f>
        <v>0</v>
      </c>
      <c r="AF60" s="32">
        <f>VLOOKUP($A60,kurspris!$A$1:$Q$262,7,FALSE)</f>
        <v>0</v>
      </c>
      <c r="AG60" s="32">
        <f>VLOOKUP($A60,kurspris!$A$1:$Q$262,8,FALSE)</f>
        <v>0</v>
      </c>
      <c r="AH60" s="32">
        <f>VLOOKUP($A60,kurspris!$A$1:$Q$262,9,FALSE)</f>
        <v>0</v>
      </c>
      <c r="AI60" s="32">
        <f>VLOOKUP($A60,kurspris!$A$1:$Q$262,10,FALSE)</f>
        <v>0</v>
      </c>
      <c r="AJ60" s="32">
        <f>VLOOKUP($A60,kurspris!$A$1:$Q$262,11,FALSE)</f>
        <v>0</v>
      </c>
      <c r="AK60" s="32">
        <f>VLOOKUP($A60,kurspris!$A$1:$Q$262,12,FALSE)</f>
        <v>0</v>
      </c>
      <c r="AL60" s="32">
        <f>VLOOKUP($A60,kurspris!$A$1:$Q$262,13,FALSE)</f>
        <v>0</v>
      </c>
      <c r="AM60" s="32">
        <f>VLOOKUP($A60,kurspris!$A$1:$Q$262,14,FALSE)</f>
        <v>0</v>
      </c>
      <c r="AN60" s="38" t="s">
        <v>946</v>
      </c>
      <c r="AO60" t="s">
        <v>947</v>
      </c>
      <c r="AP60" s="32">
        <f t="shared" si="31"/>
        <v>0</v>
      </c>
      <c r="AQ60" s="234">
        <f t="shared" si="32"/>
        <v>0</v>
      </c>
      <c r="AR60" s="32">
        <f t="shared" si="33"/>
        <v>0.25</v>
      </c>
      <c r="AS60" s="234">
        <f t="shared" si="34"/>
        <v>0.25</v>
      </c>
      <c r="AT60" s="32">
        <f t="shared" si="35"/>
        <v>0</v>
      </c>
      <c r="AU60" s="32">
        <f t="shared" si="36"/>
        <v>0</v>
      </c>
      <c r="AV60" s="32">
        <f t="shared" si="37"/>
        <v>0</v>
      </c>
      <c r="AW60" s="234">
        <f t="shared" si="38"/>
        <v>0</v>
      </c>
      <c r="AX60" s="226">
        <f t="shared" si="39"/>
        <v>0</v>
      </c>
      <c r="AY60" s="234">
        <f t="shared" si="40"/>
        <v>0</v>
      </c>
      <c r="AZ60" s="32">
        <f t="shared" si="41"/>
        <v>0</v>
      </c>
      <c r="BA60" s="234">
        <f t="shared" si="42"/>
        <v>0</v>
      </c>
      <c r="BB60" s="32">
        <f t="shared" si="43"/>
        <v>0</v>
      </c>
      <c r="BC60" s="234">
        <f t="shared" si="44"/>
        <v>0</v>
      </c>
      <c r="BD60" s="32">
        <f t="shared" si="45"/>
        <v>0</v>
      </c>
      <c r="BE60" s="234">
        <f t="shared" si="46"/>
        <v>0</v>
      </c>
      <c r="BF60" s="32">
        <f t="shared" si="47"/>
        <v>0</v>
      </c>
      <c r="BG60" s="234">
        <f t="shared" si="48"/>
        <v>0</v>
      </c>
      <c r="BH60" s="32">
        <f t="shared" si="49"/>
        <v>0</v>
      </c>
      <c r="BI60" s="32">
        <f t="shared" si="50"/>
        <v>0</v>
      </c>
      <c r="BJ60" s="234">
        <f t="shared" si="51"/>
        <v>0</v>
      </c>
      <c r="BK60" s="32">
        <f t="shared" si="52"/>
        <v>0</v>
      </c>
      <c r="BL60" s="234">
        <f t="shared" si="53"/>
        <v>0</v>
      </c>
    </row>
    <row r="61" spans="1:64" ht="15" customHeight="1" x14ac:dyDescent="0.25">
      <c r="A61" s="221" t="s">
        <v>674</v>
      </c>
      <c r="B61" s="26" t="str">
        <f>VLOOKUP(A61,kurspris!$A$1:$B$304,2,FALSE)</f>
        <v>Historia C</v>
      </c>
      <c r="C61" s="56"/>
      <c r="D61" s="32" t="s">
        <v>74</v>
      </c>
      <c r="E61" s="59" t="s">
        <v>925</v>
      </c>
      <c r="F61" s="59" t="s">
        <v>933</v>
      </c>
      <c r="G61" s="59" t="s">
        <v>935</v>
      </c>
      <c r="H61" s="59"/>
      <c r="K61" s="37"/>
      <c r="L61" s="32">
        <v>50</v>
      </c>
      <c r="M61" s="418">
        <v>15</v>
      </c>
      <c r="N61" s="32">
        <v>1</v>
      </c>
      <c r="O61" s="234">
        <f t="shared" si="54"/>
        <v>0.25</v>
      </c>
      <c r="P61" s="39">
        <v>1</v>
      </c>
      <c r="Q61" s="234">
        <f t="shared" si="27"/>
        <v>0.25</v>
      </c>
      <c r="R61" s="32">
        <f>VLOOKUP(A61,'Ansvar kurs'!$A$1:$C$399,2,FALSE)</f>
        <v>1630</v>
      </c>
      <c r="S61" s="32" t="str">
        <f>VLOOKUP(R61,Orgenheter!$A$1:$C$166,2,FALSE)</f>
        <v>Inst för ide- o samhällsstudier</v>
      </c>
      <c r="T61" s="32" t="str">
        <f>VLOOKUP(R61,Orgenheter!$A$1:$C$166,3,FALSE)</f>
        <v>Hum</v>
      </c>
      <c r="U61" s="37" t="str">
        <f>VLOOKUP(D61,Program!$A$1:$B$34,2,FALSE)</f>
        <v>VAL-projektet</v>
      </c>
      <c r="V61" s="41">
        <f>VLOOKUP(A61,kurspris!$A$1:$Q$225,15,FALSE)</f>
        <v>19097</v>
      </c>
      <c r="W61" s="41">
        <f>VLOOKUP(A61,kurspris!$A$1:$Q$225,16,FALSE)</f>
        <v>16075</v>
      </c>
      <c r="X61" s="41">
        <f t="shared" si="28"/>
        <v>8793</v>
      </c>
      <c r="Y61" s="41">
        <f>VLOOKUP(A61,kurspris!$A$1:$Q$225,17,FALSE)</f>
        <v>5900</v>
      </c>
      <c r="Z61" s="41">
        <f t="shared" si="29"/>
        <v>1475</v>
      </c>
      <c r="AA61" s="41">
        <f t="shared" si="30"/>
        <v>10268</v>
      </c>
      <c r="AB61" s="32">
        <f>VLOOKUP($A61,kurspris!$A$1:$Q$262,3,FALSE)</f>
        <v>0</v>
      </c>
      <c r="AC61" s="32">
        <f>VLOOKUP($A61,kurspris!$A$1:$Q$262,4,FALSE)</f>
        <v>1</v>
      </c>
      <c r="AD61" s="32">
        <f>VLOOKUP($A61,kurspris!$A$1:$Q$262,5,FALSE)</f>
        <v>0</v>
      </c>
      <c r="AE61" s="32">
        <f>VLOOKUP($A61,kurspris!$A$1:$Q$262,6,FALSE)</f>
        <v>0</v>
      </c>
      <c r="AF61" s="32">
        <f>VLOOKUP($A61,kurspris!$A$1:$Q$262,7,FALSE)</f>
        <v>0</v>
      </c>
      <c r="AG61" s="32">
        <f>VLOOKUP($A61,kurspris!$A$1:$Q$262,8,FALSE)</f>
        <v>0</v>
      </c>
      <c r="AH61" s="32">
        <f>VLOOKUP($A61,kurspris!$A$1:$Q$262,9,FALSE)</f>
        <v>0</v>
      </c>
      <c r="AI61" s="32">
        <f>VLOOKUP($A61,kurspris!$A$1:$Q$262,10,FALSE)</f>
        <v>0</v>
      </c>
      <c r="AJ61" s="32">
        <f>VLOOKUP($A61,kurspris!$A$1:$Q$262,11,FALSE)</f>
        <v>0</v>
      </c>
      <c r="AK61" s="32">
        <f>VLOOKUP($A61,kurspris!$A$1:$Q$262,12,FALSE)</f>
        <v>0</v>
      </c>
      <c r="AL61" s="32">
        <f>VLOOKUP($A61,kurspris!$A$1:$Q$262,13,FALSE)</f>
        <v>0</v>
      </c>
      <c r="AM61" s="32">
        <f>VLOOKUP($A61,kurspris!$A$1:$Q$262,14,FALSE)</f>
        <v>0</v>
      </c>
      <c r="AN61" s="38" t="s">
        <v>946</v>
      </c>
      <c r="AO61" s="32" t="s">
        <v>947</v>
      </c>
      <c r="AP61" s="32">
        <f t="shared" si="31"/>
        <v>0</v>
      </c>
      <c r="AQ61" s="234">
        <f t="shared" si="32"/>
        <v>0</v>
      </c>
      <c r="AR61" s="32">
        <f t="shared" si="33"/>
        <v>0.25</v>
      </c>
      <c r="AS61" s="234">
        <f t="shared" si="34"/>
        <v>0.25</v>
      </c>
      <c r="AT61" s="32">
        <f t="shared" si="35"/>
        <v>0</v>
      </c>
      <c r="AU61" s="32">
        <f t="shared" si="36"/>
        <v>0</v>
      </c>
      <c r="AV61" s="32">
        <f t="shared" si="37"/>
        <v>0</v>
      </c>
      <c r="AW61" s="234">
        <f t="shared" si="38"/>
        <v>0</v>
      </c>
      <c r="AX61" s="226">
        <f t="shared" si="39"/>
        <v>0</v>
      </c>
      <c r="AY61" s="234">
        <f t="shared" si="40"/>
        <v>0</v>
      </c>
      <c r="AZ61" s="32">
        <f t="shared" si="41"/>
        <v>0</v>
      </c>
      <c r="BA61" s="234">
        <f t="shared" si="42"/>
        <v>0</v>
      </c>
      <c r="BB61" s="32">
        <f t="shared" si="43"/>
        <v>0</v>
      </c>
      <c r="BC61" s="234">
        <f t="shared" si="44"/>
        <v>0</v>
      </c>
      <c r="BD61" s="32">
        <f t="shared" si="45"/>
        <v>0</v>
      </c>
      <c r="BE61" s="234">
        <f t="shared" si="46"/>
        <v>0</v>
      </c>
      <c r="BF61" s="32">
        <f t="shared" si="47"/>
        <v>0</v>
      </c>
      <c r="BG61" s="234">
        <f t="shared" si="48"/>
        <v>0</v>
      </c>
      <c r="BH61" s="32">
        <f t="shared" si="49"/>
        <v>0</v>
      </c>
      <c r="BI61" s="32">
        <f t="shared" si="50"/>
        <v>0</v>
      </c>
      <c r="BJ61" s="234">
        <f t="shared" si="51"/>
        <v>0</v>
      </c>
      <c r="BK61" s="32">
        <f t="shared" si="52"/>
        <v>0</v>
      </c>
      <c r="BL61" s="234">
        <f t="shared" si="53"/>
        <v>0</v>
      </c>
    </row>
    <row r="62" spans="1:64" ht="15" customHeight="1" x14ac:dyDescent="0.25">
      <c r="A62" s="221" t="s">
        <v>740</v>
      </c>
      <c r="B62" s="26" t="str">
        <f>VLOOKUP(A62,kurspris!$A$1:$B$304,2,FALSE)</f>
        <v>Historia B</v>
      </c>
      <c r="C62" s="56"/>
      <c r="D62" s="32" t="s">
        <v>74</v>
      </c>
      <c r="E62" s="59" t="s">
        <v>925</v>
      </c>
      <c r="F62" s="59" t="s">
        <v>933</v>
      </c>
      <c r="G62" s="59" t="s">
        <v>935</v>
      </c>
      <c r="H62" s="59"/>
      <c r="K62" s="37"/>
      <c r="L62" s="32">
        <v>50</v>
      </c>
      <c r="M62" s="418">
        <v>15</v>
      </c>
      <c r="N62" s="32">
        <v>1</v>
      </c>
      <c r="O62" s="234">
        <f t="shared" si="54"/>
        <v>0.25</v>
      </c>
      <c r="P62" s="39">
        <v>1</v>
      </c>
      <c r="Q62" s="234">
        <f t="shared" si="27"/>
        <v>0.25</v>
      </c>
      <c r="R62" s="32">
        <f>VLOOKUP(A62,'Ansvar kurs'!$A$1:$C$399,2,FALSE)</f>
        <v>1630</v>
      </c>
      <c r="S62" s="32" t="str">
        <f>VLOOKUP(R62,Orgenheter!$A$1:$C$166,2,FALSE)</f>
        <v>Inst för ide- o samhällsstudier</v>
      </c>
      <c r="T62" s="32" t="str">
        <f>VLOOKUP(R62,Orgenheter!$A$1:$C$166,3,FALSE)</f>
        <v>Hum</v>
      </c>
      <c r="U62" s="37" t="str">
        <f>VLOOKUP(D62,Program!$A$1:$B$34,2,FALSE)</f>
        <v>VAL-projektet</v>
      </c>
      <c r="V62" s="41">
        <f>VLOOKUP(A62,kurspris!$A$1:$Q$225,15,FALSE)</f>
        <v>19097</v>
      </c>
      <c r="W62" s="41">
        <f>VLOOKUP(A62,kurspris!$A$1:$Q$225,16,FALSE)</f>
        <v>16075</v>
      </c>
      <c r="X62" s="41">
        <f t="shared" si="28"/>
        <v>8793</v>
      </c>
      <c r="Y62" s="41">
        <f>VLOOKUP(A62,kurspris!$A$1:$Q$225,17,FALSE)</f>
        <v>5900</v>
      </c>
      <c r="Z62" s="41">
        <f t="shared" si="29"/>
        <v>1475</v>
      </c>
      <c r="AA62" s="41">
        <f t="shared" si="30"/>
        <v>10268</v>
      </c>
      <c r="AB62" s="32">
        <f>VLOOKUP($A62,kurspris!$A$1:$Q$262,3,FALSE)</f>
        <v>0</v>
      </c>
      <c r="AC62" s="32">
        <f>VLOOKUP($A62,kurspris!$A$1:$Q$262,4,FALSE)</f>
        <v>1</v>
      </c>
      <c r="AD62" s="32">
        <f>VLOOKUP($A62,kurspris!$A$1:$Q$262,5,FALSE)</f>
        <v>0</v>
      </c>
      <c r="AE62" s="32">
        <f>VLOOKUP($A62,kurspris!$A$1:$Q$262,6,FALSE)</f>
        <v>0</v>
      </c>
      <c r="AF62" s="32">
        <f>VLOOKUP($A62,kurspris!$A$1:$Q$262,7,FALSE)</f>
        <v>0</v>
      </c>
      <c r="AG62" s="32">
        <f>VLOOKUP($A62,kurspris!$A$1:$Q$262,8,FALSE)</f>
        <v>0</v>
      </c>
      <c r="AH62" s="32">
        <f>VLOOKUP($A62,kurspris!$A$1:$Q$262,9,FALSE)</f>
        <v>0</v>
      </c>
      <c r="AI62" s="32">
        <f>VLOOKUP($A62,kurspris!$A$1:$Q$262,10,FALSE)</f>
        <v>0</v>
      </c>
      <c r="AJ62" s="32">
        <f>VLOOKUP($A62,kurspris!$A$1:$Q$262,11,FALSE)</f>
        <v>0</v>
      </c>
      <c r="AK62" s="32">
        <f>VLOOKUP($A62,kurspris!$A$1:$Q$262,12,FALSE)</f>
        <v>0</v>
      </c>
      <c r="AL62" s="32">
        <f>VLOOKUP($A62,kurspris!$A$1:$Q$262,13,FALSE)</f>
        <v>0</v>
      </c>
      <c r="AM62" s="32">
        <f>VLOOKUP($A62,kurspris!$A$1:$Q$262,14,FALSE)</f>
        <v>0</v>
      </c>
      <c r="AN62" s="38" t="s">
        <v>946</v>
      </c>
      <c r="AO62" s="32" t="s">
        <v>947</v>
      </c>
      <c r="AP62" s="32">
        <f t="shared" si="31"/>
        <v>0</v>
      </c>
      <c r="AQ62" s="234">
        <f t="shared" si="32"/>
        <v>0</v>
      </c>
      <c r="AR62" s="32">
        <f t="shared" si="33"/>
        <v>0.25</v>
      </c>
      <c r="AS62" s="234">
        <f t="shared" si="34"/>
        <v>0.25</v>
      </c>
      <c r="AT62" s="32">
        <f t="shared" si="35"/>
        <v>0</v>
      </c>
      <c r="AU62" s="32">
        <f t="shared" si="36"/>
        <v>0</v>
      </c>
      <c r="AV62" s="32">
        <f t="shared" si="37"/>
        <v>0</v>
      </c>
      <c r="AW62" s="234">
        <f t="shared" si="38"/>
        <v>0</v>
      </c>
      <c r="AX62" s="226">
        <f t="shared" si="39"/>
        <v>0</v>
      </c>
      <c r="AY62" s="234">
        <f t="shared" si="40"/>
        <v>0</v>
      </c>
      <c r="AZ62" s="32">
        <f t="shared" si="41"/>
        <v>0</v>
      </c>
      <c r="BA62" s="234">
        <f t="shared" si="42"/>
        <v>0</v>
      </c>
      <c r="BB62" s="32">
        <f t="shared" si="43"/>
        <v>0</v>
      </c>
      <c r="BC62" s="234">
        <f t="shared" si="44"/>
        <v>0</v>
      </c>
      <c r="BD62" s="32">
        <f t="shared" si="45"/>
        <v>0</v>
      </c>
      <c r="BE62" s="234">
        <f t="shared" si="46"/>
        <v>0</v>
      </c>
      <c r="BF62" s="32">
        <f t="shared" si="47"/>
        <v>0</v>
      </c>
      <c r="BG62" s="234">
        <f t="shared" si="48"/>
        <v>0</v>
      </c>
      <c r="BH62" s="32">
        <f t="shared" si="49"/>
        <v>0</v>
      </c>
      <c r="BI62" s="32">
        <f t="shared" si="50"/>
        <v>0</v>
      </c>
      <c r="BJ62" s="234">
        <f t="shared" si="51"/>
        <v>0</v>
      </c>
      <c r="BK62" s="32">
        <f t="shared" si="52"/>
        <v>0</v>
      </c>
      <c r="BL62" s="234">
        <f t="shared" si="53"/>
        <v>0</v>
      </c>
    </row>
    <row r="63" spans="1:64" ht="15" customHeight="1" x14ac:dyDescent="0.25">
      <c r="A63" s="221" t="s">
        <v>860</v>
      </c>
      <c r="B63" s="26" t="str">
        <f>VLOOKUP(A63,kurspris!$A$1:$B$304,2,FALSE)</f>
        <v>Svenska språket A: Praktisk retorik</v>
      </c>
      <c r="C63" s="56"/>
      <c r="D63" s="32" t="s">
        <v>74</v>
      </c>
      <c r="E63" s="59" t="s">
        <v>925</v>
      </c>
      <c r="F63" s="59" t="s">
        <v>933</v>
      </c>
      <c r="G63" s="59" t="s">
        <v>934</v>
      </c>
      <c r="H63" s="59"/>
      <c r="K63" s="37"/>
      <c r="L63" s="32">
        <v>25</v>
      </c>
      <c r="M63" s="32">
        <v>7.5</v>
      </c>
      <c r="N63" s="32">
        <v>1</v>
      </c>
      <c r="O63" s="234">
        <f t="shared" si="54"/>
        <v>0.125</v>
      </c>
      <c r="P63" s="39">
        <v>1</v>
      </c>
      <c r="Q63" s="234">
        <f t="shared" si="27"/>
        <v>0.125</v>
      </c>
      <c r="R63" s="32">
        <f>VLOOKUP(A63,'Ansvar kurs'!$A$1:$C$399,2,FALSE)</f>
        <v>1620</v>
      </c>
      <c r="S63" s="32" t="str">
        <f>VLOOKUP(R63,Orgenheter!$A$1:$C$166,2,FALSE)</f>
        <v>Inst för språkstudier</v>
      </c>
      <c r="T63" s="32" t="str">
        <f>VLOOKUP(R63,Orgenheter!$A$1:$C$166,3,FALSE)</f>
        <v>Hum</v>
      </c>
      <c r="U63" s="37" t="str">
        <f>VLOOKUP(D63,Program!$A$1:$B$34,2,FALSE)</f>
        <v>VAL-projektet</v>
      </c>
      <c r="V63" s="41">
        <f>VLOOKUP(A63,kurspris!$A$1:$Q$225,15,FALSE)</f>
        <v>19097</v>
      </c>
      <c r="W63" s="41">
        <f>VLOOKUP(A63,kurspris!$A$1:$Q$225,16,FALSE)</f>
        <v>16075</v>
      </c>
      <c r="X63" s="41">
        <f t="shared" si="28"/>
        <v>4396.5</v>
      </c>
      <c r="Y63" s="41">
        <f>VLOOKUP(A63,kurspris!$A$1:$Q$225,17,FALSE)</f>
        <v>5900</v>
      </c>
      <c r="Z63" s="41">
        <f t="shared" si="29"/>
        <v>737.5</v>
      </c>
      <c r="AA63" s="41">
        <f t="shared" si="30"/>
        <v>5134</v>
      </c>
      <c r="AB63" s="32">
        <f>VLOOKUP($A63,kurspris!$A$1:$Q$262,3,FALSE)</f>
        <v>0</v>
      </c>
      <c r="AC63" s="32">
        <f>VLOOKUP($A63,kurspris!$A$1:$Q$262,4,FALSE)</f>
        <v>1</v>
      </c>
      <c r="AD63" s="32">
        <f>VLOOKUP($A63,kurspris!$A$1:$Q$262,5,FALSE)</f>
        <v>0</v>
      </c>
      <c r="AE63" s="32">
        <f>VLOOKUP($A63,kurspris!$A$1:$Q$262,6,FALSE)</f>
        <v>0</v>
      </c>
      <c r="AF63" s="32">
        <f>VLOOKUP($A63,kurspris!$A$1:$Q$262,7,FALSE)</f>
        <v>0</v>
      </c>
      <c r="AG63" s="32">
        <f>VLOOKUP($A63,kurspris!$A$1:$Q$262,8,FALSE)</f>
        <v>0</v>
      </c>
      <c r="AH63" s="32">
        <f>VLOOKUP($A63,kurspris!$A$1:$Q$262,9,FALSE)</f>
        <v>0</v>
      </c>
      <c r="AI63" s="32">
        <f>VLOOKUP($A63,kurspris!$A$1:$Q$262,10,FALSE)</f>
        <v>0</v>
      </c>
      <c r="AJ63" s="32">
        <f>VLOOKUP($A63,kurspris!$A$1:$Q$262,11,FALSE)</f>
        <v>0</v>
      </c>
      <c r="AK63" s="32">
        <f>VLOOKUP($A63,kurspris!$A$1:$Q$262,12,FALSE)</f>
        <v>0</v>
      </c>
      <c r="AL63" s="32">
        <f>VLOOKUP($A63,kurspris!$A$1:$Q$262,13,FALSE)</f>
        <v>0</v>
      </c>
      <c r="AM63" s="32">
        <f>VLOOKUP($A63,kurspris!$A$1:$Q$262,14,FALSE)</f>
        <v>0</v>
      </c>
      <c r="AN63" s="38" t="s">
        <v>946</v>
      </c>
      <c r="AP63" s="32">
        <f t="shared" si="31"/>
        <v>0</v>
      </c>
      <c r="AQ63" s="234">
        <f t="shared" si="32"/>
        <v>0</v>
      </c>
      <c r="AR63" s="32">
        <f t="shared" si="33"/>
        <v>0.125</v>
      </c>
      <c r="AS63" s="234">
        <f t="shared" si="34"/>
        <v>0.125</v>
      </c>
      <c r="AT63" s="32">
        <f t="shared" si="35"/>
        <v>0</v>
      </c>
      <c r="AU63" s="32">
        <f t="shared" si="36"/>
        <v>0</v>
      </c>
      <c r="AV63" s="32">
        <f t="shared" si="37"/>
        <v>0</v>
      </c>
      <c r="AW63" s="234">
        <f t="shared" si="38"/>
        <v>0</v>
      </c>
      <c r="AX63" s="226">
        <f t="shared" si="39"/>
        <v>0</v>
      </c>
      <c r="AY63" s="234">
        <f t="shared" si="40"/>
        <v>0</v>
      </c>
      <c r="AZ63" s="32">
        <f t="shared" si="41"/>
        <v>0</v>
      </c>
      <c r="BA63" s="234">
        <f t="shared" si="42"/>
        <v>0</v>
      </c>
      <c r="BB63" s="32">
        <f t="shared" si="43"/>
        <v>0</v>
      </c>
      <c r="BC63" s="234">
        <f t="shared" si="44"/>
        <v>0</v>
      </c>
      <c r="BD63" s="32">
        <f t="shared" si="45"/>
        <v>0</v>
      </c>
      <c r="BE63" s="234">
        <f t="shared" si="46"/>
        <v>0</v>
      </c>
      <c r="BF63" s="32">
        <f t="shared" si="47"/>
        <v>0</v>
      </c>
      <c r="BG63" s="234">
        <f t="shared" si="48"/>
        <v>0</v>
      </c>
      <c r="BH63" s="32">
        <f t="shared" si="49"/>
        <v>0</v>
      </c>
      <c r="BI63" s="32">
        <f t="shared" si="50"/>
        <v>0</v>
      </c>
      <c r="BJ63" s="234">
        <f t="shared" si="51"/>
        <v>0</v>
      </c>
      <c r="BK63" s="32">
        <f t="shared" si="52"/>
        <v>0</v>
      </c>
      <c r="BL63" s="234">
        <f t="shared" si="53"/>
        <v>0</v>
      </c>
    </row>
    <row r="64" spans="1:64" ht="15" customHeight="1" x14ac:dyDescent="0.25">
      <c r="A64" s="221" t="s">
        <v>921</v>
      </c>
      <c r="B64" s="26" t="str">
        <f>VLOOKUP(A64,kurspris!$A$1:$B$304,2,FALSE)</f>
        <v>Skandinavistik med inriktning mot nordliga studier - synkrona perspektiv</v>
      </c>
      <c r="C64" s="56"/>
      <c r="D64" s="32" t="s">
        <v>74</v>
      </c>
      <c r="E64" s="59" t="s">
        <v>925</v>
      </c>
      <c r="F64" s="59" t="s">
        <v>933</v>
      </c>
      <c r="G64" s="59" t="s">
        <v>936</v>
      </c>
      <c r="H64" s="59"/>
      <c r="K64" s="37"/>
      <c r="L64" s="32">
        <v>50</v>
      </c>
      <c r="M64" s="32">
        <v>7.5</v>
      </c>
      <c r="N64" s="32">
        <v>1</v>
      </c>
      <c r="O64" s="234">
        <f t="shared" si="54"/>
        <v>0.125</v>
      </c>
      <c r="P64" s="39">
        <v>1</v>
      </c>
      <c r="Q64" s="234">
        <f t="shared" si="27"/>
        <v>0.125</v>
      </c>
      <c r="R64" s="32">
        <f>VLOOKUP(A64,'Ansvar kurs'!$A$1:$C$399,2,FALSE)</f>
        <v>1620</v>
      </c>
      <c r="S64" s="32" t="str">
        <f>VLOOKUP(R64,Orgenheter!$A$1:$C$166,2,FALSE)</f>
        <v>Inst för språkstudier</v>
      </c>
      <c r="T64" s="32" t="str">
        <f>VLOOKUP(R64,Orgenheter!$A$1:$C$166,3,FALSE)</f>
        <v>Hum</v>
      </c>
      <c r="U64" s="37" t="str">
        <f>VLOOKUP(D64,Program!$A$1:$B$34,2,FALSE)</f>
        <v>VAL-projektet</v>
      </c>
      <c r="V64" s="41">
        <f>VLOOKUP(A64,kurspris!$A$1:$Q$225,15,FALSE)</f>
        <v>19097</v>
      </c>
      <c r="W64" s="41">
        <f>VLOOKUP(A64,kurspris!$A$1:$Q$225,16,FALSE)</f>
        <v>16075</v>
      </c>
      <c r="X64" s="41">
        <f t="shared" si="28"/>
        <v>4396.5</v>
      </c>
      <c r="Y64" s="41">
        <f>VLOOKUP(A64,kurspris!$A$1:$Q$225,17,FALSE)</f>
        <v>5900</v>
      </c>
      <c r="Z64" s="41">
        <f t="shared" si="29"/>
        <v>737.5</v>
      </c>
      <c r="AA64" s="41">
        <f t="shared" si="30"/>
        <v>5134</v>
      </c>
      <c r="AB64" s="32">
        <f>VLOOKUP($A64,kurspris!$A$1:$Q$262,3,FALSE)</f>
        <v>0</v>
      </c>
      <c r="AC64" s="32">
        <f>VLOOKUP($A64,kurspris!$A$1:$Q$262,4,FALSE)</f>
        <v>1</v>
      </c>
      <c r="AD64" s="32">
        <f>VLOOKUP($A64,kurspris!$A$1:$Q$262,5,FALSE)</f>
        <v>0</v>
      </c>
      <c r="AE64" s="32">
        <f>VLOOKUP($A64,kurspris!$A$1:$Q$262,6,FALSE)</f>
        <v>0</v>
      </c>
      <c r="AF64" s="32">
        <f>VLOOKUP($A64,kurspris!$A$1:$Q$262,7,FALSE)</f>
        <v>0</v>
      </c>
      <c r="AG64" s="32">
        <f>VLOOKUP($A64,kurspris!$A$1:$Q$262,8,FALSE)</f>
        <v>0</v>
      </c>
      <c r="AH64" s="32">
        <f>VLOOKUP($A64,kurspris!$A$1:$Q$262,9,FALSE)</f>
        <v>0</v>
      </c>
      <c r="AI64" s="32">
        <f>VLOOKUP($A64,kurspris!$A$1:$Q$262,10,FALSE)</f>
        <v>0</v>
      </c>
      <c r="AJ64" s="32">
        <f>VLOOKUP($A64,kurspris!$A$1:$Q$262,11,FALSE)</f>
        <v>0</v>
      </c>
      <c r="AK64" s="32">
        <f>VLOOKUP($A64,kurspris!$A$1:$Q$262,12,FALSE)</f>
        <v>0</v>
      </c>
      <c r="AL64" s="32">
        <f>VLOOKUP($A64,kurspris!$A$1:$Q$262,13,FALSE)</f>
        <v>0</v>
      </c>
      <c r="AM64" s="32">
        <f>VLOOKUP($A64,kurspris!$A$1:$Q$262,14,FALSE)</f>
        <v>0</v>
      </c>
      <c r="AN64" s="38" t="s">
        <v>946</v>
      </c>
      <c r="AP64" s="32">
        <f t="shared" si="31"/>
        <v>0</v>
      </c>
      <c r="AQ64" s="234">
        <f t="shared" si="32"/>
        <v>0</v>
      </c>
      <c r="AR64" s="32">
        <f t="shared" si="33"/>
        <v>0.125</v>
      </c>
      <c r="AS64" s="234">
        <f t="shared" si="34"/>
        <v>0.125</v>
      </c>
      <c r="AT64" s="32">
        <f t="shared" si="35"/>
        <v>0</v>
      </c>
      <c r="AU64" s="32">
        <f t="shared" si="36"/>
        <v>0</v>
      </c>
      <c r="AV64" s="32">
        <f t="shared" si="37"/>
        <v>0</v>
      </c>
      <c r="AW64" s="234">
        <f t="shared" si="38"/>
        <v>0</v>
      </c>
      <c r="AX64" s="226">
        <f t="shared" si="39"/>
        <v>0</v>
      </c>
      <c r="AY64" s="234">
        <f t="shared" si="40"/>
        <v>0</v>
      </c>
      <c r="AZ64" s="32">
        <f t="shared" si="41"/>
        <v>0</v>
      </c>
      <c r="BA64" s="234">
        <f t="shared" si="42"/>
        <v>0</v>
      </c>
      <c r="BB64" s="32">
        <f t="shared" si="43"/>
        <v>0</v>
      </c>
      <c r="BC64" s="234">
        <f t="shared" si="44"/>
        <v>0</v>
      </c>
      <c r="BD64" s="32">
        <f t="shared" si="45"/>
        <v>0</v>
      </c>
      <c r="BE64" s="234">
        <f t="shared" si="46"/>
        <v>0</v>
      </c>
      <c r="BF64" s="32">
        <f t="shared" si="47"/>
        <v>0</v>
      </c>
      <c r="BG64" s="234">
        <f t="shared" si="48"/>
        <v>0</v>
      </c>
      <c r="BH64" s="32">
        <f t="shared" si="49"/>
        <v>0</v>
      </c>
      <c r="BI64" s="32">
        <f t="shared" si="50"/>
        <v>0</v>
      </c>
      <c r="BJ64" s="234">
        <f t="shared" si="51"/>
        <v>0</v>
      </c>
      <c r="BK64" s="32">
        <f t="shared" si="52"/>
        <v>0</v>
      </c>
      <c r="BL64" s="234">
        <f t="shared" si="53"/>
        <v>0</v>
      </c>
    </row>
    <row r="65" spans="1:64" ht="15" customHeight="1" x14ac:dyDescent="0.25">
      <c r="A65" s="392" t="s">
        <v>600</v>
      </c>
      <c r="B65" s="26" t="str">
        <f>VLOOKUP(A65,kurspris!$A$1:$B$304,2,FALSE)</f>
        <v>Religionsvetenskap: grundkurs A1</v>
      </c>
      <c r="C65" s="56"/>
      <c r="D65" s="32" t="s">
        <v>74</v>
      </c>
      <c r="E65" s="59" t="s">
        <v>927</v>
      </c>
      <c r="F65" s="59" t="s">
        <v>933</v>
      </c>
      <c r="G65" s="59" t="s">
        <v>934</v>
      </c>
      <c r="H65" s="59"/>
      <c r="J65" s="59"/>
      <c r="K65" s="37"/>
      <c r="L65" s="32">
        <v>100</v>
      </c>
      <c r="M65" s="32">
        <v>30</v>
      </c>
      <c r="N65" s="32">
        <v>1</v>
      </c>
      <c r="O65" s="234">
        <f t="shared" si="54"/>
        <v>0.5</v>
      </c>
      <c r="P65" s="39">
        <v>1</v>
      </c>
      <c r="Q65" s="234">
        <f t="shared" si="27"/>
        <v>0.5</v>
      </c>
      <c r="R65" s="32">
        <f>VLOOKUP(A65,'Ansvar kurs'!$A$1:$C$399,2,FALSE)</f>
        <v>1630</v>
      </c>
      <c r="S65" s="32" t="str">
        <f>VLOOKUP(R65,Orgenheter!$A$1:$C$166,2,FALSE)</f>
        <v>Inst för ide- o samhällsstudier</v>
      </c>
      <c r="T65" s="32" t="str">
        <f>VLOOKUP(R65,Orgenheter!$A$1:$C$166,3,FALSE)</f>
        <v>Hum</v>
      </c>
      <c r="U65" s="37" t="str">
        <f>VLOOKUP(D65,Program!$A$1:$B$34,2,FALSE)</f>
        <v>VAL-projektet</v>
      </c>
      <c r="V65" s="41">
        <f>VLOOKUP(A65,kurspris!$A$1:$Q$225,15,FALSE)</f>
        <v>19097</v>
      </c>
      <c r="W65" s="41">
        <f>VLOOKUP(A65,kurspris!$A$1:$Q$225,16,FALSE)</f>
        <v>16075</v>
      </c>
      <c r="X65" s="41">
        <f t="shared" si="28"/>
        <v>17586</v>
      </c>
      <c r="Y65" s="41">
        <f>VLOOKUP(A65,kurspris!$A$1:$Q$225,17,FALSE)</f>
        <v>5900</v>
      </c>
      <c r="Z65" s="41">
        <f t="shared" si="29"/>
        <v>2950</v>
      </c>
      <c r="AA65" s="41">
        <f t="shared" si="30"/>
        <v>20536</v>
      </c>
      <c r="AB65" s="32">
        <f>VLOOKUP($A65,kurspris!$A$1:$Q$262,3,FALSE)</f>
        <v>0</v>
      </c>
      <c r="AC65" s="32">
        <f>VLOOKUP($A65,kurspris!$A$1:$Q$262,4,FALSE)</f>
        <v>1</v>
      </c>
      <c r="AD65" s="32">
        <f>VLOOKUP($A65,kurspris!$A$1:$Q$262,5,FALSE)</f>
        <v>0</v>
      </c>
      <c r="AE65" s="32">
        <f>VLOOKUP($A65,kurspris!$A$1:$Q$262,6,FALSE)</f>
        <v>0</v>
      </c>
      <c r="AF65" s="32">
        <f>VLOOKUP($A65,kurspris!$A$1:$Q$262,7,FALSE)</f>
        <v>0</v>
      </c>
      <c r="AG65" s="32">
        <f>VLOOKUP($A65,kurspris!$A$1:$Q$262,8,FALSE)</f>
        <v>0</v>
      </c>
      <c r="AH65" s="32">
        <f>VLOOKUP($A65,kurspris!$A$1:$Q$262,9,FALSE)</f>
        <v>0</v>
      </c>
      <c r="AI65" s="32">
        <f>VLOOKUP($A65,kurspris!$A$1:$Q$262,10,FALSE)</f>
        <v>0</v>
      </c>
      <c r="AJ65" s="32">
        <f>VLOOKUP($A65,kurspris!$A$1:$Q$262,11,FALSE)</f>
        <v>0</v>
      </c>
      <c r="AK65" s="32">
        <f>VLOOKUP($A65,kurspris!$A$1:$Q$262,12,FALSE)</f>
        <v>0</v>
      </c>
      <c r="AL65" s="32">
        <f>VLOOKUP($A65,kurspris!$A$1:$Q$262,13,FALSE)</f>
        <v>0</v>
      </c>
      <c r="AM65" s="32">
        <f>VLOOKUP($A65,kurspris!$A$1:$Q$262,14,FALSE)</f>
        <v>0</v>
      </c>
      <c r="AN65" s="38" t="s">
        <v>946</v>
      </c>
      <c r="AO65"/>
      <c r="AP65" s="32">
        <f t="shared" si="31"/>
        <v>0</v>
      </c>
      <c r="AQ65" s="234">
        <f t="shared" si="32"/>
        <v>0</v>
      </c>
      <c r="AR65" s="32">
        <f t="shared" si="33"/>
        <v>0.5</v>
      </c>
      <c r="AS65" s="234">
        <f t="shared" si="34"/>
        <v>0.5</v>
      </c>
      <c r="AT65" s="32">
        <f t="shared" si="35"/>
        <v>0</v>
      </c>
      <c r="AU65" s="32">
        <f t="shared" si="36"/>
        <v>0</v>
      </c>
      <c r="AV65" s="32">
        <f t="shared" si="37"/>
        <v>0</v>
      </c>
      <c r="AW65" s="234">
        <f t="shared" si="38"/>
        <v>0</v>
      </c>
      <c r="AX65" s="226">
        <f t="shared" si="39"/>
        <v>0</v>
      </c>
      <c r="AY65" s="234">
        <f t="shared" si="40"/>
        <v>0</v>
      </c>
      <c r="AZ65" s="32">
        <f t="shared" si="41"/>
        <v>0</v>
      </c>
      <c r="BA65" s="234">
        <f t="shared" si="42"/>
        <v>0</v>
      </c>
      <c r="BB65" s="32">
        <f t="shared" si="43"/>
        <v>0</v>
      </c>
      <c r="BC65" s="234">
        <f t="shared" si="44"/>
        <v>0</v>
      </c>
      <c r="BD65" s="32">
        <f t="shared" si="45"/>
        <v>0</v>
      </c>
      <c r="BE65" s="234">
        <f t="shared" si="46"/>
        <v>0</v>
      </c>
      <c r="BF65" s="32">
        <f t="shared" si="47"/>
        <v>0</v>
      </c>
      <c r="BG65" s="234">
        <f t="shared" si="48"/>
        <v>0</v>
      </c>
      <c r="BH65" s="32">
        <f t="shared" si="49"/>
        <v>0</v>
      </c>
      <c r="BI65" s="32">
        <f t="shared" si="50"/>
        <v>0</v>
      </c>
      <c r="BJ65" s="234">
        <f t="shared" si="51"/>
        <v>0</v>
      </c>
      <c r="BK65" s="32">
        <f t="shared" si="52"/>
        <v>0</v>
      </c>
      <c r="BL65" s="234">
        <f t="shared" si="53"/>
        <v>0</v>
      </c>
    </row>
    <row r="66" spans="1:64" ht="15" customHeight="1" x14ac:dyDescent="0.25">
      <c r="A66" s="392" t="s">
        <v>774</v>
      </c>
      <c r="B66" s="26" t="str">
        <f>VLOOKUP(A66,kurspris!$A$1:$B$304,2,FALSE)</f>
        <v>Spanska C, Lingvistik, litteratur och språkfärdighet</v>
      </c>
      <c r="C66" s="56"/>
      <c r="D66" s="32" t="s">
        <v>74</v>
      </c>
      <c r="E66" s="59" t="s">
        <v>925</v>
      </c>
      <c r="F66" s="59" t="s">
        <v>933</v>
      </c>
      <c r="G66" s="59" t="s">
        <v>934</v>
      </c>
      <c r="H66" s="59"/>
      <c r="J66" s="59"/>
      <c r="K66" s="37"/>
      <c r="L66" s="32">
        <v>50</v>
      </c>
      <c r="M66" s="32">
        <v>15</v>
      </c>
      <c r="N66" s="32">
        <v>1</v>
      </c>
      <c r="O66" s="234">
        <f t="shared" ref="O66:O97" si="55">N66*M66/60</f>
        <v>0.25</v>
      </c>
      <c r="P66" s="39">
        <v>1</v>
      </c>
      <c r="Q66" s="234">
        <f t="shared" ref="Q66:Q97" si="56">O66*P66</f>
        <v>0.25</v>
      </c>
      <c r="R66" s="32">
        <f>VLOOKUP(A66,'Ansvar kurs'!$A$1:$C$399,2,FALSE)</f>
        <v>1620</v>
      </c>
      <c r="S66" s="32" t="str">
        <f>VLOOKUP(R66,Orgenheter!$A$1:$C$166,2,FALSE)</f>
        <v>Inst för språkstudier</v>
      </c>
      <c r="T66" s="32" t="str">
        <f>VLOOKUP(R66,Orgenheter!$A$1:$C$166,3,FALSE)</f>
        <v>Hum</v>
      </c>
      <c r="U66" s="37" t="str">
        <f>VLOOKUP(D66,Program!$A$1:$B$34,2,FALSE)</f>
        <v>VAL-projektet</v>
      </c>
      <c r="V66" s="41">
        <f>VLOOKUP(A66,kurspris!$A$1:$Q$225,15,FALSE)</f>
        <v>19097</v>
      </c>
      <c r="W66" s="41">
        <f>VLOOKUP(A66,kurspris!$A$1:$Q$225,16,FALSE)</f>
        <v>16075</v>
      </c>
      <c r="X66" s="41">
        <f t="shared" ref="X66:X97" si="57">V66*O66+Q66*W66</f>
        <v>8793</v>
      </c>
      <c r="Y66" s="41">
        <f>VLOOKUP(A66,kurspris!$A$1:$Q$225,17,FALSE)</f>
        <v>5900</v>
      </c>
      <c r="Z66" s="41">
        <f t="shared" ref="Z66:Z97" si="58">Y66*O66</f>
        <v>1475</v>
      </c>
      <c r="AA66" s="41">
        <f t="shared" ref="AA66:AA97" si="59">X66+Z66</f>
        <v>10268</v>
      </c>
      <c r="AB66" s="32">
        <f>VLOOKUP($A66,kurspris!$A$1:$Q$262,3,FALSE)</f>
        <v>0</v>
      </c>
      <c r="AC66" s="32">
        <f>VLOOKUP($A66,kurspris!$A$1:$Q$262,4,FALSE)</f>
        <v>1</v>
      </c>
      <c r="AD66" s="32">
        <f>VLOOKUP($A66,kurspris!$A$1:$Q$262,5,FALSE)</f>
        <v>0</v>
      </c>
      <c r="AE66" s="32">
        <f>VLOOKUP($A66,kurspris!$A$1:$Q$262,6,FALSE)</f>
        <v>0</v>
      </c>
      <c r="AF66" s="32">
        <f>VLOOKUP($A66,kurspris!$A$1:$Q$262,7,FALSE)</f>
        <v>0</v>
      </c>
      <c r="AG66" s="32">
        <f>VLOOKUP($A66,kurspris!$A$1:$Q$262,8,FALSE)</f>
        <v>0</v>
      </c>
      <c r="AH66" s="32">
        <f>VLOOKUP($A66,kurspris!$A$1:$Q$262,9,FALSE)</f>
        <v>0</v>
      </c>
      <c r="AI66" s="32">
        <f>VLOOKUP($A66,kurspris!$A$1:$Q$262,10,FALSE)</f>
        <v>0</v>
      </c>
      <c r="AJ66" s="32">
        <f>VLOOKUP($A66,kurspris!$A$1:$Q$262,11,FALSE)</f>
        <v>0</v>
      </c>
      <c r="AK66" s="32">
        <f>VLOOKUP($A66,kurspris!$A$1:$Q$262,12,FALSE)</f>
        <v>0</v>
      </c>
      <c r="AL66" s="32">
        <f>VLOOKUP($A66,kurspris!$A$1:$Q$262,13,FALSE)</f>
        <v>0</v>
      </c>
      <c r="AM66" s="32">
        <f>VLOOKUP($A66,kurspris!$A$1:$Q$262,14,FALSE)</f>
        <v>0</v>
      </c>
      <c r="AN66" s="38" t="s">
        <v>946</v>
      </c>
      <c r="AO66"/>
      <c r="AP66" s="32">
        <f t="shared" ref="AP66:AP97" si="60">$O66*AB66</f>
        <v>0</v>
      </c>
      <c r="AQ66" s="234">
        <f t="shared" ref="AQ66:AQ97" si="61">$Q66*AB66</f>
        <v>0</v>
      </c>
      <c r="AR66" s="32">
        <f t="shared" ref="AR66:AR97" si="62">$O66*AC66</f>
        <v>0.25</v>
      </c>
      <c r="AS66" s="234">
        <f t="shared" ref="AS66:AS97" si="63">$Q66*AC66</f>
        <v>0.25</v>
      </c>
      <c r="AT66" s="32">
        <f t="shared" ref="AT66:AT97" si="64">$O66*AD66</f>
        <v>0</v>
      </c>
      <c r="AU66" s="32">
        <f t="shared" ref="AU66:AU97" si="65">$Q66*AD66</f>
        <v>0</v>
      </c>
      <c r="AV66" s="32">
        <f t="shared" ref="AV66:AV97" si="66">$O66*AE66</f>
        <v>0</v>
      </c>
      <c r="AW66" s="234">
        <f t="shared" ref="AW66:AW97" si="67">$Q66*AE66</f>
        <v>0</v>
      </c>
      <c r="AX66" s="226">
        <f t="shared" ref="AX66:AX97" si="68">$O66*AF66</f>
        <v>0</v>
      </c>
      <c r="AY66" s="234">
        <f t="shared" ref="AY66:AY97" si="69">$Q66*AF66</f>
        <v>0</v>
      </c>
      <c r="AZ66" s="32">
        <f t="shared" ref="AZ66:AZ97" si="70">$O66*AG66</f>
        <v>0</v>
      </c>
      <c r="BA66" s="234">
        <f t="shared" ref="BA66:BA97" si="71">$Q66*AG66</f>
        <v>0</v>
      </c>
      <c r="BB66" s="32">
        <f t="shared" ref="BB66:BB97" si="72">$O66*AH66</f>
        <v>0</v>
      </c>
      <c r="BC66" s="234">
        <f t="shared" ref="BC66:BC97" si="73">$Q66*AH66</f>
        <v>0</v>
      </c>
      <c r="BD66" s="32">
        <f t="shared" ref="BD66:BD97" si="74">$O66*AI66</f>
        <v>0</v>
      </c>
      <c r="BE66" s="234">
        <f t="shared" ref="BE66:BE97" si="75">$Q66*AI66</f>
        <v>0</v>
      </c>
      <c r="BF66" s="32">
        <f t="shared" ref="BF66:BF97" si="76">$O66*AJ66</f>
        <v>0</v>
      </c>
      <c r="BG66" s="234">
        <f t="shared" ref="BG66:BG97" si="77">$Q66*AJ66</f>
        <v>0</v>
      </c>
      <c r="BH66" s="32">
        <f t="shared" ref="BH66:BH97" si="78">$O66*AK66</f>
        <v>0</v>
      </c>
      <c r="BI66" s="32">
        <f t="shared" ref="BI66:BI97" si="79">$O66*AL66</f>
        <v>0</v>
      </c>
      <c r="BJ66" s="234">
        <f t="shared" ref="BJ66:BJ97" si="80">$Q66*AL66</f>
        <v>0</v>
      </c>
      <c r="BK66" s="32">
        <f t="shared" ref="BK66:BK97" si="81">$O66*AM66</f>
        <v>0</v>
      </c>
      <c r="BL66" s="234">
        <f t="shared" ref="BL66:BL97" si="82">$Q66*AM66</f>
        <v>0</v>
      </c>
    </row>
    <row r="67" spans="1:64" ht="15" customHeight="1" x14ac:dyDescent="0.25">
      <c r="A67" s="221" t="s">
        <v>607</v>
      </c>
      <c r="B67" s="26" t="str">
        <f>VLOOKUP(A67,kurspris!$A$1:$B$304,2,FALSE)</f>
        <v>Bedömning - grundnivå (VAL, ULV)</v>
      </c>
      <c r="C67" s="56"/>
      <c r="D67" s="32" t="s">
        <v>74</v>
      </c>
      <c r="E67" s="59" t="s">
        <v>928</v>
      </c>
      <c r="F67" s="59" t="s">
        <v>933</v>
      </c>
      <c r="G67" s="59" t="s">
        <v>937</v>
      </c>
      <c r="H67" s="59"/>
      <c r="K67" s="37"/>
      <c r="L67" s="32">
        <v>50</v>
      </c>
      <c r="M67" s="32">
        <v>7.5</v>
      </c>
      <c r="N67" s="32">
        <v>2</v>
      </c>
      <c r="O67" s="234">
        <f t="shared" si="55"/>
        <v>0.25</v>
      </c>
      <c r="P67" s="39">
        <v>1</v>
      </c>
      <c r="Q67" s="234">
        <f t="shared" si="56"/>
        <v>0.25</v>
      </c>
      <c r="R67" s="32">
        <f>VLOOKUP(A67,'Ansvar kurs'!$A$1:$C$399,2,FALSE)</f>
        <v>5740</v>
      </c>
      <c r="S67" s="32" t="str">
        <f>VLOOKUP(R67,Orgenheter!$A$1:$C$166,2,FALSE)</f>
        <v>NMD</v>
      </c>
      <c r="T67" s="32" t="str">
        <f>VLOOKUP(R67,Orgenheter!$A$1:$C$166,3,FALSE)</f>
        <v>TekNat</v>
      </c>
      <c r="U67" s="37" t="str">
        <f>VLOOKUP(D67,Program!$A$1:$B$34,2,FALSE)</f>
        <v>VAL-projektet</v>
      </c>
      <c r="V67" s="41">
        <f>VLOOKUP(A67,kurspris!$A$1:$Q$225,15,FALSE)</f>
        <v>24104</v>
      </c>
      <c r="W67" s="41">
        <f>VLOOKUP(A67,kurspris!$A$1:$Q$225,16,FALSE)</f>
        <v>31432</v>
      </c>
      <c r="X67" s="41">
        <f t="shared" si="57"/>
        <v>13884</v>
      </c>
      <c r="Y67" s="41">
        <f>VLOOKUP(A67,kurspris!$A$1:$Q$225,17,FALSE)</f>
        <v>5900</v>
      </c>
      <c r="Z67" s="41">
        <f t="shared" si="58"/>
        <v>1475</v>
      </c>
      <c r="AA67" s="41">
        <f t="shared" si="59"/>
        <v>15359</v>
      </c>
      <c r="AB67" s="32">
        <f>VLOOKUP($A67,kurspris!$A$1:$Q$262,3,FALSE)</f>
        <v>0</v>
      </c>
      <c r="AC67" s="32">
        <f>VLOOKUP($A67,kurspris!$A$1:$Q$262,4,FALSE)</f>
        <v>0</v>
      </c>
      <c r="AD67" s="32">
        <f>VLOOKUP($A67,kurspris!$A$1:$Q$262,5,FALSE)</f>
        <v>0</v>
      </c>
      <c r="AE67" s="32">
        <f>VLOOKUP($A67,kurspris!$A$1:$Q$262,6,FALSE)</f>
        <v>1</v>
      </c>
      <c r="AF67" s="32">
        <f>VLOOKUP($A67,kurspris!$A$1:$Q$262,7,FALSE)</f>
        <v>0</v>
      </c>
      <c r="AG67" s="32">
        <f>VLOOKUP($A67,kurspris!$A$1:$Q$262,8,FALSE)</f>
        <v>0</v>
      </c>
      <c r="AH67" s="32">
        <f>VLOOKUP($A67,kurspris!$A$1:$Q$262,9,FALSE)</f>
        <v>0</v>
      </c>
      <c r="AI67" s="32">
        <f>VLOOKUP($A67,kurspris!$A$1:$Q$262,10,FALSE)</f>
        <v>0</v>
      </c>
      <c r="AJ67" s="32">
        <f>VLOOKUP($A67,kurspris!$A$1:$Q$262,11,FALSE)</f>
        <v>0</v>
      </c>
      <c r="AK67" s="32">
        <f>VLOOKUP($A67,kurspris!$A$1:$Q$262,12,FALSE)</f>
        <v>0</v>
      </c>
      <c r="AL67" s="32">
        <f>VLOOKUP($A67,kurspris!$A$1:$Q$262,13,FALSE)</f>
        <v>0</v>
      </c>
      <c r="AM67" s="32">
        <f>VLOOKUP($A67,kurspris!$A$1:$Q$262,14,FALSE)</f>
        <v>0</v>
      </c>
      <c r="AN67" s="38" t="s">
        <v>946</v>
      </c>
      <c r="AO67"/>
      <c r="AP67" s="32">
        <f t="shared" si="60"/>
        <v>0</v>
      </c>
      <c r="AQ67" s="234">
        <f t="shared" si="61"/>
        <v>0</v>
      </c>
      <c r="AR67" s="32">
        <f t="shared" si="62"/>
        <v>0</v>
      </c>
      <c r="AS67" s="234">
        <f t="shared" si="63"/>
        <v>0</v>
      </c>
      <c r="AT67" s="32">
        <f t="shared" si="64"/>
        <v>0</v>
      </c>
      <c r="AU67" s="32">
        <f t="shared" si="65"/>
        <v>0</v>
      </c>
      <c r="AV67" s="32">
        <f t="shared" si="66"/>
        <v>0.25</v>
      </c>
      <c r="AW67" s="234">
        <f t="shared" si="67"/>
        <v>0.25</v>
      </c>
      <c r="AX67" s="226">
        <f t="shared" si="68"/>
        <v>0</v>
      </c>
      <c r="AY67" s="234">
        <f t="shared" si="69"/>
        <v>0</v>
      </c>
      <c r="AZ67" s="32">
        <f t="shared" si="70"/>
        <v>0</v>
      </c>
      <c r="BA67" s="234">
        <f t="shared" si="71"/>
        <v>0</v>
      </c>
      <c r="BB67" s="32">
        <f t="shared" si="72"/>
        <v>0</v>
      </c>
      <c r="BC67" s="234">
        <f t="shared" si="73"/>
        <v>0</v>
      </c>
      <c r="BD67" s="32">
        <f t="shared" si="74"/>
        <v>0</v>
      </c>
      <c r="BE67" s="234">
        <f t="shared" si="75"/>
        <v>0</v>
      </c>
      <c r="BF67" s="32">
        <f t="shared" si="76"/>
        <v>0</v>
      </c>
      <c r="BG67" s="234">
        <f t="shared" si="77"/>
        <v>0</v>
      </c>
      <c r="BH67" s="32">
        <f t="shared" si="78"/>
        <v>0</v>
      </c>
      <c r="BI67" s="32">
        <f t="shared" si="79"/>
        <v>0</v>
      </c>
      <c r="BJ67" s="234">
        <f t="shared" si="80"/>
        <v>0</v>
      </c>
      <c r="BK67" s="32">
        <f t="shared" si="81"/>
        <v>0</v>
      </c>
      <c r="BL67" s="234">
        <f t="shared" si="82"/>
        <v>0</v>
      </c>
    </row>
    <row r="68" spans="1:64" ht="15" customHeight="1" x14ac:dyDescent="0.25">
      <c r="A68" s="392" t="s">
        <v>607</v>
      </c>
      <c r="B68" s="26" t="str">
        <f>VLOOKUP(A68,kurspris!$A$1:$B$304,2,FALSE)</f>
        <v>Bedömning - grundnivå (VAL, ULV)</v>
      </c>
      <c r="C68" s="56"/>
      <c r="D68" s="32" t="s">
        <v>74</v>
      </c>
      <c r="E68" s="59" t="s">
        <v>929</v>
      </c>
      <c r="F68" s="59" t="s">
        <v>933</v>
      </c>
      <c r="G68" s="59" t="s">
        <v>937</v>
      </c>
      <c r="H68" s="59"/>
      <c r="K68" s="37"/>
      <c r="L68" s="32">
        <v>50</v>
      </c>
      <c r="M68" s="32">
        <v>7.5</v>
      </c>
      <c r="N68" s="32">
        <v>2</v>
      </c>
      <c r="O68" s="234">
        <f t="shared" si="55"/>
        <v>0.25</v>
      </c>
      <c r="P68" s="39">
        <v>1</v>
      </c>
      <c r="Q68" s="234">
        <f t="shared" si="56"/>
        <v>0.25</v>
      </c>
      <c r="R68" s="32">
        <f>VLOOKUP(A68,'Ansvar kurs'!$A$1:$C$399,2,FALSE)</f>
        <v>5740</v>
      </c>
      <c r="S68" s="32" t="str">
        <f>VLOOKUP(R68,Orgenheter!$A$1:$C$166,2,FALSE)</f>
        <v>NMD</v>
      </c>
      <c r="T68" s="32" t="str">
        <f>VLOOKUP(R68,Orgenheter!$A$1:$C$166,3,FALSE)</f>
        <v>TekNat</v>
      </c>
      <c r="U68" s="37" t="str">
        <f>VLOOKUP(D68,Program!$A$1:$B$34,2,FALSE)</f>
        <v>VAL-projektet</v>
      </c>
      <c r="V68" s="41">
        <f>VLOOKUP(A68,kurspris!$A$1:$Q$225,15,FALSE)</f>
        <v>24104</v>
      </c>
      <c r="W68" s="41">
        <f>VLOOKUP(A68,kurspris!$A$1:$Q$225,16,FALSE)</f>
        <v>31432</v>
      </c>
      <c r="X68" s="41">
        <f t="shared" si="57"/>
        <v>13884</v>
      </c>
      <c r="Y68" s="41">
        <f>VLOOKUP(A68,kurspris!$A$1:$Q$225,17,FALSE)</f>
        <v>5900</v>
      </c>
      <c r="Z68" s="41">
        <f t="shared" si="58"/>
        <v>1475</v>
      </c>
      <c r="AA68" s="41">
        <f t="shared" si="59"/>
        <v>15359</v>
      </c>
      <c r="AB68" s="32">
        <f>VLOOKUP($A68,kurspris!$A$1:$Q$262,3,FALSE)</f>
        <v>0</v>
      </c>
      <c r="AC68" s="32">
        <f>VLOOKUP($A68,kurspris!$A$1:$Q$262,4,FALSE)</f>
        <v>0</v>
      </c>
      <c r="AD68" s="32">
        <f>VLOOKUP($A68,kurspris!$A$1:$Q$262,5,FALSE)</f>
        <v>0</v>
      </c>
      <c r="AE68" s="32">
        <f>VLOOKUP($A68,kurspris!$A$1:$Q$262,6,FALSE)</f>
        <v>1</v>
      </c>
      <c r="AF68" s="32">
        <f>VLOOKUP($A68,kurspris!$A$1:$Q$262,7,FALSE)</f>
        <v>0</v>
      </c>
      <c r="AG68" s="32">
        <f>VLOOKUP($A68,kurspris!$A$1:$Q$262,8,FALSE)</f>
        <v>0</v>
      </c>
      <c r="AH68" s="32">
        <f>VLOOKUP($A68,kurspris!$A$1:$Q$262,9,FALSE)</f>
        <v>0</v>
      </c>
      <c r="AI68" s="32">
        <f>VLOOKUP($A68,kurspris!$A$1:$Q$262,10,FALSE)</f>
        <v>0</v>
      </c>
      <c r="AJ68" s="32">
        <f>VLOOKUP($A68,kurspris!$A$1:$Q$262,11,FALSE)</f>
        <v>0</v>
      </c>
      <c r="AK68" s="32">
        <f>VLOOKUP($A68,kurspris!$A$1:$Q$262,12,FALSE)</f>
        <v>0</v>
      </c>
      <c r="AL68" s="32">
        <f>VLOOKUP($A68,kurspris!$A$1:$Q$262,13,FALSE)</f>
        <v>0</v>
      </c>
      <c r="AM68" s="32">
        <f>VLOOKUP($A68,kurspris!$A$1:$Q$262,14,FALSE)</f>
        <v>0</v>
      </c>
      <c r="AN68" s="38" t="s">
        <v>946</v>
      </c>
      <c r="AO68"/>
      <c r="AP68" s="32">
        <f t="shared" si="60"/>
        <v>0</v>
      </c>
      <c r="AQ68" s="234">
        <f t="shared" si="61"/>
        <v>0</v>
      </c>
      <c r="AR68" s="32">
        <f t="shared" si="62"/>
        <v>0</v>
      </c>
      <c r="AS68" s="234">
        <f t="shared" si="63"/>
        <v>0</v>
      </c>
      <c r="AT68" s="32">
        <f t="shared" si="64"/>
        <v>0</v>
      </c>
      <c r="AU68" s="32">
        <f t="shared" si="65"/>
        <v>0</v>
      </c>
      <c r="AV68" s="32">
        <f t="shared" si="66"/>
        <v>0.25</v>
      </c>
      <c r="AW68" s="234">
        <f t="shared" si="67"/>
        <v>0.25</v>
      </c>
      <c r="AX68" s="226">
        <f t="shared" si="68"/>
        <v>0</v>
      </c>
      <c r="AY68" s="234">
        <f t="shared" si="69"/>
        <v>0</v>
      </c>
      <c r="AZ68" s="32">
        <f t="shared" si="70"/>
        <v>0</v>
      </c>
      <c r="BA68" s="234">
        <f t="shared" si="71"/>
        <v>0</v>
      </c>
      <c r="BB68" s="32">
        <f t="shared" si="72"/>
        <v>0</v>
      </c>
      <c r="BC68" s="234">
        <f t="shared" si="73"/>
        <v>0</v>
      </c>
      <c r="BD68" s="32">
        <f t="shared" si="74"/>
        <v>0</v>
      </c>
      <c r="BE68" s="234">
        <f t="shared" si="75"/>
        <v>0</v>
      </c>
      <c r="BF68" s="32">
        <f t="shared" si="76"/>
        <v>0</v>
      </c>
      <c r="BG68" s="234">
        <f t="shared" si="77"/>
        <v>0</v>
      </c>
      <c r="BH68" s="32">
        <f t="shared" si="78"/>
        <v>0</v>
      </c>
      <c r="BI68" s="32">
        <f t="shared" si="79"/>
        <v>0</v>
      </c>
      <c r="BJ68" s="234">
        <f t="shared" si="80"/>
        <v>0</v>
      </c>
      <c r="BK68" s="32">
        <f t="shared" si="81"/>
        <v>0</v>
      </c>
      <c r="BL68" s="234">
        <f t="shared" si="82"/>
        <v>0</v>
      </c>
    </row>
    <row r="69" spans="1:64" ht="15" customHeight="1" x14ac:dyDescent="0.25">
      <c r="A69" s="392" t="s">
        <v>607</v>
      </c>
      <c r="B69" s="26" t="str">
        <f>VLOOKUP(A69,kurspris!$A$1:$B$304,2,FALSE)</f>
        <v>Bedömning - grundnivå (VAL, ULV)</v>
      </c>
      <c r="C69" s="56"/>
      <c r="D69" s="32" t="s">
        <v>74</v>
      </c>
      <c r="E69" s="59" t="s">
        <v>925</v>
      </c>
      <c r="F69" s="59" t="s">
        <v>933</v>
      </c>
      <c r="G69" s="59" t="s">
        <v>937</v>
      </c>
      <c r="H69" s="59"/>
      <c r="K69" s="37"/>
      <c r="L69" s="32">
        <v>50</v>
      </c>
      <c r="M69" s="32">
        <v>7.5</v>
      </c>
      <c r="N69" s="32">
        <v>25</v>
      </c>
      <c r="O69" s="234">
        <f t="shared" si="55"/>
        <v>3.125</v>
      </c>
      <c r="P69" s="39">
        <v>1</v>
      </c>
      <c r="Q69" s="234">
        <f t="shared" si="56"/>
        <v>3.125</v>
      </c>
      <c r="R69" s="32">
        <f>VLOOKUP(A69,'Ansvar kurs'!$A$1:$C$399,2,FALSE)</f>
        <v>5740</v>
      </c>
      <c r="S69" s="32" t="str">
        <f>VLOOKUP(R69,Orgenheter!$A$1:$C$166,2,FALSE)</f>
        <v>NMD</v>
      </c>
      <c r="T69" s="32" t="str">
        <f>VLOOKUP(R69,Orgenheter!$A$1:$C$166,3,FALSE)</f>
        <v>TekNat</v>
      </c>
      <c r="U69" s="37" t="str">
        <f>VLOOKUP(D69,Program!$A$1:$B$34,2,FALSE)</f>
        <v>VAL-projektet</v>
      </c>
      <c r="V69" s="41">
        <f>VLOOKUP(A69,kurspris!$A$1:$Q$225,15,FALSE)</f>
        <v>24104</v>
      </c>
      <c r="W69" s="41">
        <f>VLOOKUP(A69,kurspris!$A$1:$Q$225,16,FALSE)</f>
        <v>31432</v>
      </c>
      <c r="X69" s="41">
        <f t="shared" si="57"/>
        <v>173550</v>
      </c>
      <c r="Y69" s="41">
        <f>VLOOKUP(A69,kurspris!$A$1:$Q$225,17,FALSE)</f>
        <v>5900</v>
      </c>
      <c r="Z69" s="41">
        <f t="shared" si="58"/>
        <v>18437.5</v>
      </c>
      <c r="AA69" s="41">
        <f t="shared" si="59"/>
        <v>191987.5</v>
      </c>
      <c r="AB69" s="32">
        <f>VLOOKUP($A69,kurspris!$A$1:$Q$262,3,FALSE)</f>
        <v>0</v>
      </c>
      <c r="AC69" s="32">
        <f>VLOOKUP($A69,kurspris!$A$1:$Q$262,4,FALSE)</f>
        <v>0</v>
      </c>
      <c r="AD69" s="32">
        <f>VLOOKUP($A69,kurspris!$A$1:$Q$262,5,FALSE)</f>
        <v>0</v>
      </c>
      <c r="AE69" s="32">
        <f>VLOOKUP($A69,kurspris!$A$1:$Q$262,6,FALSE)</f>
        <v>1</v>
      </c>
      <c r="AF69" s="32">
        <f>VLOOKUP($A69,kurspris!$A$1:$Q$262,7,FALSE)</f>
        <v>0</v>
      </c>
      <c r="AG69" s="32">
        <f>VLOOKUP($A69,kurspris!$A$1:$Q$262,8,FALSE)</f>
        <v>0</v>
      </c>
      <c r="AH69" s="32">
        <f>VLOOKUP($A69,kurspris!$A$1:$Q$262,9,FALSE)</f>
        <v>0</v>
      </c>
      <c r="AI69" s="32">
        <f>VLOOKUP($A69,kurspris!$A$1:$Q$262,10,FALSE)</f>
        <v>0</v>
      </c>
      <c r="AJ69" s="32">
        <f>VLOOKUP($A69,kurspris!$A$1:$Q$262,11,FALSE)</f>
        <v>0</v>
      </c>
      <c r="AK69" s="32">
        <f>VLOOKUP($A69,kurspris!$A$1:$Q$262,12,FALSE)</f>
        <v>0</v>
      </c>
      <c r="AL69" s="32">
        <f>VLOOKUP($A69,kurspris!$A$1:$Q$262,13,FALSE)</f>
        <v>0</v>
      </c>
      <c r="AM69" s="32">
        <f>VLOOKUP($A69,kurspris!$A$1:$Q$262,14,FALSE)</f>
        <v>0</v>
      </c>
      <c r="AN69" s="38" t="s">
        <v>946</v>
      </c>
      <c r="AO69"/>
      <c r="AP69" s="32">
        <f t="shared" si="60"/>
        <v>0</v>
      </c>
      <c r="AQ69" s="234">
        <f t="shared" si="61"/>
        <v>0</v>
      </c>
      <c r="AR69" s="32">
        <f t="shared" si="62"/>
        <v>0</v>
      </c>
      <c r="AS69" s="234">
        <f t="shared" si="63"/>
        <v>0</v>
      </c>
      <c r="AT69" s="32">
        <f t="shared" si="64"/>
        <v>0</v>
      </c>
      <c r="AU69" s="32">
        <f t="shared" si="65"/>
        <v>0</v>
      </c>
      <c r="AV69" s="32">
        <f t="shared" si="66"/>
        <v>3.125</v>
      </c>
      <c r="AW69" s="234">
        <f t="shared" si="67"/>
        <v>3.125</v>
      </c>
      <c r="AX69" s="226">
        <f t="shared" si="68"/>
        <v>0</v>
      </c>
      <c r="AY69" s="234">
        <f t="shared" si="69"/>
        <v>0</v>
      </c>
      <c r="AZ69" s="32">
        <f t="shared" si="70"/>
        <v>0</v>
      </c>
      <c r="BA69" s="234">
        <f t="shared" si="71"/>
        <v>0</v>
      </c>
      <c r="BB69" s="32">
        <f t="shared" si="72"/>
        <v>0</v>
      </c>
      <c r="BC69" s="234">
        <f t="shared" si="73"/>
        <v>0</v>
      </c>
      <c r="BD69" s="32">
        <f t="shared" si="74"/>
        <v>0</v>
      </c>
      <c r="BE69" s="234">
        <f t="shared" si="75"/>
        <v>0</v>
      </c>
      <c r="BF69" s="32">
        <f t="shared" si="76"/>
        <v>0</v>
      </c>
      <c r="BG69" s="234">
        <f t="shared" si="77"/>
        <v>0</v>
      </c>
      <c r="BH69" s="32">
        <f t="shared" si="78"/>
        <v>0</v>
      </c>
      <c r="BI69" s="32">
        <f t="shared" si="79"/>
        <v>0</v>
      </c>
      <c r="BJ69" s="234">
        <f t="shared" si="80"/>
        <v>0</v>
      </c>
      <c r="BK69" s="32">
        <f t="shared" si="81"/>
        <v>0</v>
      </c>
      <c r="BL69" s="234">
        <f t="shared" si="82"/>
        <v>0</v>
      </c>
    </row>
    <row r="70" spans="1:64" ht="15" customHeight="1" x14ac:dyDescent="0.25">
      <c r="A70" s="392" t="s">
        <v>607</v>
      </c>
      <c r="B70" s="26" t="str">
        <f>VLOOKUP(A70,kurspris!$A$1:$B$304,2,FALSE)</f>
        <v>Bedömning - grundnivå (VAL, ULV)</v>
      </c>
      <c r="C70" s="56"/>
      <c r="D70" s="32" t="s">
        <v>74</v>
      </c>
      <c r="E70" s="59" t="s">
        <v>930</v>
      </c>
      <c r="F70" s="59" t="s">
        <v>933</v>
      </c>
      <c r="G70" s="59" t="s">
        <v>937</v>
      </c>
      <c r="H70" s="59"/>
      <c r="K70" s="37"/>
      <c r="L70" s="32">
        <v>50</v>
      </c>
      <c r="M70" s="32">
        <v>7.5</v>
      </c>
      <c r="N70" s="32">
        <v>4</v>
      </c>
      <c r="O70" s="234">
        <f t="shared" si="55"/>
        <v>0.5</v>
      </c>
      <c r="P70" s="39">
        <v>1</v>
      </c>
      <c r="Q70" s="234">
        <f t="shared" si="56"/>
        <v>0.5</v>
      </c>
      <c r="R70" s="32">
        <f>VLOOKUP(A70,'Ansvar kurs'!$A$1:$C$399,2,FALSE)</f>
        <v>5740</v>
      </c>
      <c r="S70" s="32" t="str">
        <f>VLOOKUP(R70,Orgenheter!$A$1:$C$166,2,FALSE)</f>
        <v>NMD</v>
      </c>
      <c r="T70" s="32" t="str">
        <f>VLOOKUP(R70,Orgenheter!$A$1:$C$166,3,FALSE)</f>
        <v>TekNat</v>
      </c>
      <c r="U70" s="37" t="str">
        <f>VLOOKUP(D70,Program!$A$1:$B$34,2,FALSE)</f>
        <v>VAL-projektet</v>
      </c>
      <c r="V70" s="41">
        <f>VLOOKUP(A70,kurspris!$A$1:$Q$225,15,FALSE)</f>
        <v>24104</v>
      </c>
      <c r="W70" s="41">
        <f>VLOOKUP(A70,kurspris!$A$1:$Q$225,16,FALSE)</f>
        <v>31432</v>
      </c>
      <c r="X70" s="41">
        <f t="shared" si="57"/>
        <v>27768</v>
      </c>
      <c r="Y70" s="41">
        <f>VLOOKUP(A70,kurspris!$A$1:$Q$225,17,FALSE)</f>
        <v>5900</v>
      </c>
      <c r="Z70" s="41">
        <f t="shared" si="58"/>
        <v>2950</v>
      </c>
      <c r="AA70" s="41">
        <f t="shared" si="59"/>
        <v>30718</v>
      </c>
      <c r="AB70" s="32">
        <f>VLOOKUP($A70,kurspris!$A$1:$Q$262,3,FALSE)</f>
        <v>0</v>
      </c>
      <c r="AC70" s="32">
        <f>VLOOKUP($A70,kurspris!$A$1:$Q$262,4,FALSE)</f>
        <v>0</v>
      </c>
      <c r="AD70" s="32">
        <f>VLOOKUP($A70,kurspris!$A$1:$Q$262,5,FALSE)</f>
        <v>0</v>
      </c>
      <c r="AE70" s="32">
        <f>VLOOKUP($A70,kurspris!$A$1:$Q$262,6,FALSE)</f>
        <v>1</v>
      </c>
      <c r="AF70" s="32">
        <f>VLOOKUP($A70,kurspris!$A$1:$Q$262,7,FALSE)</f>
        <v>0</v>
      </c>
      <c r="AG70" s="32">
        <f>VLOOKUP($A70,kurspris!$A$1:$Q$262,8,FALSE)</f>
        <v>0</v>
      </c>
      <c r="AH70" s="32">
        <f>VLOOKUP($A70,kurspris!$A$1:$Q$262,9,FALSE)</f>
        <v>0</v>
      </c>
      <c r="AI70" s="32">
        <f>VLOOKUP($A70,kurspris!$A$1:$Q$262,10,FALSE)</f>
        <v>0</v>
      </c>
      <c r="AJ70" s="32">
        <f>VLOOKUP($A70,kurspris!$A$1:$Q$262,11,FALSE)</f>
        <v>0</v>
      </c>
      <c r="AK70" s="32">
        <f>VLOOKUP($A70,kurspris!$A$1:$Q$262,12,FALSE)</f>
        <v>0</v>
      </c>
      <c r="AL70" s="32">
        <f>VLOOKUP($A70,kurspris!$A$1:$Q$262,13,FALSE)</f>
        <v>0</v>
      </c>
      <c r="AM70" s="32">
        <f>VLOOKUP($A70,kurspris!$A$1:$Q$262,14,FALSE)</f>
        <v>0</v>
      </c>
      <c r="AN70" s="38" t="s">
        <v>946</v>
      </c>
      <c r="AO70"/>
      <c r="AP70" s="32">
        <f t="shared" si="60"/>
        <v>0</v>
      </c>
      <c r="AQ70" s="234">
        <f t="shared" si="61"/>
        <v>0</v>
      </c>
      <c r="AR70" s="32">
        <f t="shared" si="62"/>
        <v>0</v>
      </c>
      <c r="AS70" s="234">
        <f t="shared" si="63"/>
        <v>0</v>
      </c>
      <c r="AT70" s="32">
        <f t="shared" si="64"/>
        <v>0</v>
      </c>
      <c r="AU70" s="32">
        <f t="shared" si="65"/>
        <v>0</v>
      </c>
      <c r="AV70" s="32">
        <f t="shared" si="66"/>
        <v>0.5</v>
      </c>
      <c r="AW70" s="234">
        <f t="shared" si="67"/>
        <v>0.5</v>
      </c>
      <c r="AX70" s="226">
        <f t="shared" si="68"/>
        <v>0</v>
      </c>
      <c r="AY70" s="234">
        <f t="shared" si="69"/>
        <v>0</v>
      </c>
      <c r="AZ70" s="32">
        <f t="shared" si="70"/>
        <v>0</v>
      </c>
      <c r="BA70" s="234">
        <f t="shared" si="71"/>
        <v>0</v>
      </c>
      <c r="BB70" s="32">
        <f t="shared" si="72"/>
        <v>0</v>
      </c>
      <c r="BC70" s="234">
        <f t="shared" si="73"/>
        <v>0</v>
      </c>
      <c r="BD70" s="32">
        <f t="shared" si="74"/>
        <v>0</v>
      </c>
      <c r="BE70" s="234">
        <f t="shared" si="75"/>
        <v>0</v>
      </c>
      <c r="BF70" s="32">
        <f t="shared" si="76"/>
        <v>0</v>
      </c>
      <c r="BG70" s="234">
        <f t="shared" si="77"/>
        <v>0</v>
      </c>
      <c r="BH70" s="32">
        <f t="shared" si="78"/>
        <v>0</v>
      </c>
      <c r="BI70" s="32">
        <f t="shared" si="79"/>
        <v>0</v>
      </c>
      <c r="BJ70" s="234">
        <f t="shared" si="80"/>
        <v>0</v>
      </c>
      <c r="BK70" s="32">
        <f t="shared" si="81"/>
        <v>0</v>
      </c>
      <c r="BL70" s="234">
        <f t="shared" si="82"/>
        <v>0</v>
      </c>
    </row>
    <row r="71" spans="1:64" ht="15" customHeight="1" x14ac:dyDescent="0.25">
      <c r="A71" s="393" t="s">
        <v>607</v>
      </c>
      <c r="B71" s="26" t="str">
        <f>VLOOKUP(A71,kurspris!$A$1:$B$304,2,FALSE)</f>
        <v>Bedömning - grundnivå (VAL, ULV)</v>
      </c>
      <c r="C71" s="56"/>
      <c r="D71" s="32" t="s">
        <v>74</v>
      </c>
      <c r="E71" s="59" t="s">
        <v>926</v>
      </c>
      <c r="F71" s="59" t="s">
        <v>933</v>
      </c>
      <c r="G71" s="32" t="s">
        <v>937</v>
      </c>
      <c r="H71" s="59"/>
      <c r="K71" s="37"/>
      <c r="L71" s="32">
        <v>50</v>
      </c>
      <c r="M71" s="32">
        <v>7.5</v>
      </c>
      <c r="N71" s="375">
        <v>4</v>
      </c>
      <c r="O71" s="234">
        <f t="shared" si="55"/>
        <v>0.5</v>
      </c>
      <c r="P71" s="39">
        <v>1</v>
      </c>
      <c r="Q71" s="234">
        <f t="shared" si="56"/>
        <v>0.5</v>
      </c>
      <c r="R71" s="32">
        <f>VLOOKUP(A71,'Ansvar kurs'!$A$1:$C$399,2,FALSE)</f>
        <v>5740</v>
      </c>
      <c r="S71" s="32" t="str">
        <f>VLOOKUP(R71,Orgenheter!$A$1:$C$166,2,FALSE)</f>
        <v>NMD</v>
      </c>
      <c r="T71" s="32" t="str">
        <f>VLOOKUP(R71,Orgenheter!$A$1:$C$166,3,FALSE)</f>
        <v>TekNat</v>
      </c>
      <c r="U71" s="37" t="str">
        <f>VLOOKUP(D71,Program!$A$1:$B$34,2,FALSE)</f>
        <v>VAL-projektet</v>
      </c>
      <c r="V71" s="41">
        <f>VLOOKUP(A71,kurspris!$A$1:$Q$225,15,FALSE)</f>
        <v>24104</v>
      </c>
      <c r="W71" s="41">
        <f>VLOOKUP(A71,kurspris!$A$1:$Q$225,16,FALSE)</f>
        <v>31432</v>
      </c>
      <c r="X71" s="41">
        <f t="shared" si="57"/>
        <v>27768</v>
      </c>
      <c r="Y71" s="41">
        <f>VLOOKUP(A71,kurspris!$A$1:$Q$225,17,FALSE)</f>
        <v>5900</v>
      </c>
      <c r="Z71" s="41">
        <f t="shared" si="58"/>
        <v>2950</v>
      </c>
      <c r="AA71" s="41">
        <f t="shared" si="59"/>
        <v>30718</v>
      </c>
      <c r="AB71" s="32">
        <f>VLOOKUP($A71,kurspris!$A$1:$Q$262,3,FALSE)</f>
        <v>0</v>
      </c>
      <c r="AC71" s="32">
        <f>VLOOKUP($A71,kurspris!$A$1:$Q$262,4,FALSE)</f>
        <v>0</v>
      </c>
      <c r="AD71" s="32">
        <f>VLOOKUP($A71,kurspris!$A$1:$Q$262,5,FALSE)</f>
        <v>0</v>
      </c>
      <c r="AE71" s="32">
        <f>VLOOKUP($A71,kurspris!$A$1:$Q$262,6,FALSE)</f>
        <v>1</v>
      </c>
      <c r="AF71" s="32">
        <f>VLOOKUP($A71,kurspris!$A$1:$Q$262,7,FALSE)</f>
        <v>0</v>
      </c>
      <c r="AG71" s="32">
        <f>VLOOKUP($A71,kurspris!$A$1:$Q$262,8,FALSE)</f>
        <v>0</v>
      </c>
      <c r="AH71" s="32">
        <f>VLOOKUP($A71,kurspris!$A$1:$Q$262,9,FALSE)</f>
        <v>0</v>
      </c>
      <c r="AI71" s="32">
        <f>VLOOKUP($A71,kurspris!$A$1:$Q$262,10,FALSE)</f>
        <v>0</v>
      </c>
      <c r="AJ71" s="32">
        <f>VLOOKUP($A71,kurspris!$A$1:$Q$262,11,FALSE)</f>
        <v>0</v>
      </c>
      <c r="AK71" s="32">
        <f>VLOOKUP($A71,kurspris!$A$1:$Q$262,12,FALSE)</f>
        <v>0</v>
      </c>
      <c r="AL71" s="32">
        <f>VLOOKUP($A71,kurspris!$A$1:$Q$262,13,FALSE)</f>
        <v>0</v>
      </c>
      <c r="AM71" s="32">
        <f>VLOOKUP($A71,kurspris!$A$1:$Q$262,14,FALSE)</f>
        <v>0</v>
      </c>
      <c r="AN71" s="38" t="s">
        <v>946</v>
      </c>
      <c r="AO71"/>
      <c r="AP71" s="32">
        <f t="shared" si="60"/>
        <v>0</v>
      </c>
      <c r="AQ71" s="234">
        <f t="shared" si="61"/>
        <v>0</v>
      </c>
      <c r="AR71" s="32">
        <f t="shared" si="62"/>
        <v>0</v>
      </c>
      <c r="AS71" s="234">
        <f t="shared" si="63"/>
        <v>0</v>
      </c>
      <c r="AT71" s="32">
        <f t="shared" si="64"/>
        <v>0</v>
      </c>
      <c r="AU71" s="32">
        <f t="shared" si="65"/>
        <v>0</v>
      </c>
      <c r="AV71" s="32">
        <f t="shared" si="66"/>
        <v>0.5</v>
      </c>
      <c r="AW71" s="234">
        <f t="shared" si="67"/>
        <v>0.5</v>
      </c>
      <c r="AX71" s="226">
        <f t="shared" si="68"/>
        <v>0</v>
      </c>
      <c r="AY71" s="234">
        <f t="shared" si="69"/>
        <v>0</v>
      </c>
      <c r="AZ71" s="32">
        <f t="shared" si="70"/>
        <v>0</v>
      </c>
      <c r="BA71" s="234">
        <f t="shared" si="71"/>
        <v>0</v>
      </c>
      <c r="BB71" s="32">
        <f t="shared" si="72"/>
        <v>0</v>
      </c>
      <c r="BC71" s="234">
        <f t="shared" si="73"/>
        <v>0</v>
      </c>
      <c r="BD71" s="32">
        <f t="shared" si="74"/>
        <v>0</v>
      </c>
      <c r="BE71" s="234">
        <f t="shared" si="75"/>
        <v>0</v>
      </c>
      <c r="BF71" s="32">
        <f t="shared" si="76"/>
        <v>0</v>
      </c>
      <c r="BG71" s="234">
        <f t="shared" si="77"/>
        <v>0</v>
      </c>
      <c r="BH71" s="32">
        <f t="shared" si="78"/>
        <v>0</v>
      </c>
      <c r="BI71" s="32">
        <f t="shared" si="79"/>
        <v>0</v>
      </c>
      <c r="BJ71" s="234">
        <f t="shared" si="80"/>
        <v>0</v>
      </c>
      <c r="BK71" s="32">
        <f t="shared" si="81"/>
        <v>0</v>
      </c>
      <c r="BL71" s="234">
        <f t="shared" si="82"/>
        <v>0</v>
      </c>
    </row>
    <row r="72" spans="1:64" ht="15" customHeight="1" x14ac:dyDescent="0.25">
      <c r="A72" s="221" t="s">
        <v>607</v>
      </c>
      <c r="B72" s="26" t="str">
        <f>VLOOKUP(A72,kurspris!$A$1:$B$304,2,FALSE)</f>
        <v>Bedömning - grundnivå (VAL, ULV)</v>
      </c>
      <c r="C72" s="56"/>
      <c r="D72" s="32" t="s">
        <v>74</v>
      </c>
      <c r="E72" s="59" t="s">
        <v>927</v>
      </c>
      <c r="F72" s="59" t="s">
        <v>933</v>
      </c>
      <c r="G72" s="59" t="s">
        <v>937</v>
      </c>
      <c r="H72" s="59"/>
      <c r="K72" s="37"/>
      <c r="L72" s="32">
        <v>50</v>
      </c>
      <c r="M72" s="32">
        <v>7.5</v>
      </c>
      <c r="N72" s="32">
        <v>5</v>
      </c>
      <c r="O72" s="234">
        <f t="shared" si="55"/>
        <v>0.625</v>
      </c>
      <c r="P72" s="39">
        <v>1</v>
      </c>
      <c r="Q72" s="234">
        <f t="shared" si="56"/>
        <v>0.625</v>
      </c>
      <c r="R72" s="32">
        <f>VLOOKUP(A72,'Ansvar kurs'!$A$1:$C$399,2,FALSE)</f>
        <v>5740</v>
      </c>
      <c r="S72" s="32" t="str">
        <f>VLOOKUP(R72,Orgenheter!$A$1:$C$166,2,FALSE)</f>
        <v>NMD</v>
      </c>
      <c r="T72" s="32" t="str">
        <f>VLOOKUP(R72,Orgenheter!$A$1:$C$166,3,FALSE)</f>
        <v>TekNat</v>
      </c>
      <c r="U72" s="37" t="str">
        <f>VLOOKUP(D72,Program!$A$1:$B$34,2,FALSE)</f>
        <v>VAL-projektet</v>
      </c>
      <c r="V72" s="41">
        <f>VLOOKUP(A72,kurspris!$A$1:$Q$225,15,FALSE)</f>
        <v>24104</v>
      </c>
      <c r="W72" s="41">
        <f>VLOOKUP(A72,kurspris!$A$1:$Q$225,16,FALSE)</f>
        <v>31432</v>
      </c>
      <c r="X72" s="41">
        <f t="shared" si="57"/>
        <v>34710</v>
      </c>
      <c r="Y72" s="41">
        <f>VLOOKUP(A72,kurspris!$A$1:$Q$225,17,FALSE)</f>
        <v>5900</v>
      </c>
      <c r="Z72" s="41">
        <f t="shared" si="58"/>
        <v>3687.5</v>
      </c>
      <c r="AA72" s="41">
        <f t="shared" si="59"/>
        <v>38397.5</v>
      </c>
      <c r="AB72" s="32">
        <f>VLOOKUP($A72,kurspris!$A$1:$Q$262,3,FALSE)</f>
        <v>0</v>
      </c>
      <c r="AC72" s="32">
        <f>VLOOKUP($A72,kurspris!$A$1:$Q$262,4,FALSE)</f>
        <v>0</v>
      </c>
      <c r="AD72" s="32">
        <f>VLOOKUP($A72,kurspris!$A$1:$Q$262,5,FALSE)</f>
        <v>0</v>
      </c>
      <c r="AE72" s="32">
        <f>VLOOKUP($A72,kurspris!$A$1:$Q$262,6,FALSE)</f>
        <v>1</v>
      </c>
      <c r="AF72" s="32">
        <f>VLOOKUP($A72,kurspris!$A$1:$Q$262,7,FALSE)</f>
        <v>0</v>
      </c>
      <c r="AG72" s="32">
        <f>VLOOKUP($A72,kurspris!$A$1:$Q$262,8,FALSE)</f>
        <v>0</v>
      </c>
      <c r="AH72" s="32">
        <f>VLOOKUP($A72,kurspris!$A$1:$Q$262,9,FALSE)</f>
        <v>0</v>
      </c>
      <c r="AI72" s="32">
        <f>VLOOKUP($A72,kurspris!$A$1:$Q$262,10,FALSE)</f>
        <v>0</v>
      </c>
      <c r="AJ72" s="32">
        <f>VLOOKUP($A72,kurspris!$A$1:$Q$262,11,FALSE)</f>
        <v>0</v>
      </c>
      <c r="AK72" s="32">
        <f>VLOOKUP($A72,kurspris!$A$1:$Q$262,12,FALSE)</f>
        <v>0</v>
      </c>
      <c r="AL72" s="32">
        <f>VLOOKUP($A72,kurspris!$A$1:$Q$262,13,FALSE)</f>
        <v>0</v>
      </c>
      <c r="AM72" s="32">
        <f>VLOOKUP($A72,kurspris!$A$1:$Q$262,14,FALSE)</f>
        <v>0</v>
      </c>
      <c r="AN72" s="38" t="s">
        <v>946</v>
      </c>
      <c r="AO72"/>
      <c r="AP72" s="32">
        <f t="shared" si="60"/>
        <v>0</v>
      </c>
      <c r="AQ72" s="234">
        <f t="shared" si="61"/>
        <v>0</v>
      </c>
      <c r="AR72" s="32">
        <f t="shared" si="62"/>
        <v>0</v>
      </c>
      <c r="AS72" s="234">
        <f t="shared" si="63"/>
        <v>0</v>
      </c>
      <c r="AT72" s="32">
        <f t="shared" si="64"/>
        <v>0</v>
      </c>
      <c r="AU72" s="32">
        <f t="shared" si="65"/>
        <v>0</v>
      </c>
      <c r="AV72" s="32">
        <f t="shared" si="66"/>
        <v>0.625</v>
      </c>
      <c r="AW72" s="234">
        <f t="shared" si="67"/>
        <v>0.625</v>
      </c>
      <c r="AX72" s="226">
        <f t="shared" si="68"/>
        <v>0</v>
      </c>
      <c r="AY72" s="234">
        <f t="shared" si="69"/>
        <v>0</v>
      </c>
      <c r="AZ72" s="32">
        <f t="shared" si="70"/>
        <v>0</v>
      </c>
      <c r="BA72" s="234">
        <f t="shared" si="71"/>
        <v>0</v>
      </c>
      <c r="BB72" s="32">
        <f t="shared" si="72"/>
        <v>0</v>
      </c>
      <c r="BC72" s="234">
        <f t="shared" si="73"/>
        <v>0</v>
      </c>
      <c r="BD72" s="32">
        <f t="shared" si="74"/>
        <v>0</v>
      </c>
      <c r="BE72" s="234">
        <f t="shared" si="75"/>
        <v>0</v>
      </c>
      <c r="BF72" s="32">
        <f t="shared" si="76"/>
        <v>0</v>
      </c>
      <c r="BG72" s="234">
        <f t="shared" si="77"/>
        <v>0</v>
      </c>
      <c r="BH72" s="32">
        <f t="shared" si="78"/>
        <v>0</v>
      </c>
      <c r="BI72" s="32">
        <f t="shared" si="79"/>
        <v>0</v>
      </c>
      <c r="BJ72" s="234">
        <f t="shared" si="80"/>
        <v>0</v>
      </c>
      <c r="BK72" s="32">
        <f t="shared" si="81"/>
        <v>0</v>
      </c>
      <c r="BL72" s="234">
        <f t="shared" si="82"/>
        <v>0</v>
      </c>
    </row>
    <row r="73" spans="1:64" ht="15" customHeight="1" x14ac:dyDescent="0.25">
      <c r="A73" s="392" t="s">
        <v>609</v>
      </c>
      <c r="B73" s="26" t="str">
        <f>VLOOKUP(A73,kurspris!$A$1:$B$304,2,FALSE)</f>
        <v>Vetenskap och kunskap - grundnivå (VAL, ULV)</v>
      </c>
      <c r="C73" s="56"/>
      <c r="D73" s="32" t="s">
        <v>74</v>
      </c>
      <c r="E73" s="59" t="s">
        <v>928</v>
      </c>
      <c r="F73" s="59" t="s">
        <v>933</v>
      </c>
      <c r="G73" s="59" t="s">
        <v>937</v>
      </c>
      <c r="H73" s="59"/>
      <c r="K73" s="37"/>
      <c r="L73" s="32">
        <v>50</v>
      </c>
      <c r="M73" s="32">
        <v>7.5</v>
      </c>
      <c r="N73" s="32">
        <v>4</v>
      </c>
      <c r="O73" s="234">
        <f t="shared" si="55"/>
        <v>0.5</v>
      </c>
      <c r="P73" s="39">
        <v>1</v>
      </c>
      <c r="Q73" s="234">
        <f t="shared" si="56"/>
        <v>0.5</v>
      </c>
      <c r="R73" s="32">
        <f>VLOOKUP(A73,'Ansvar kurs'!$A$1:$C$399,2,FALSE)</f>
        <v>5740</v>
      </c>
      <c r="S73" s="32" t="str">
        <f>VLOOKUP(R73,Orgenheter!$A$1:$C$166,2,FALSE)</f>
        <v>NMD</v>
      </c>
      <c r="T73" s="32" t="str">
        <f>VLOOKUP(R73,Orgenheter!$A$1:$C$166,3,FALSE)</f>
        <v>TekNat</v>
      </c>
      <c r="U73" s="37" t="str">
        <f>VLOOKUP(D73,Program!$A$1:$B$34,2,FALSE)</f>
        <v>VAL-projektet</v>
      </c>
      <c r="V73" s="41">
        <f>VLOOKUP(A73,kurspris!$A$1:$Q$225,15,FALSE)</f>
        <v>24104</v>
      </c>
      <c r="W73" s="41">
        <f>VLOOKUP(A73,kurspris!$A$1:$Q$225,16,FALSE)</f>
        <v>31432</v>
      </c>
      <c r="X73" s="41">
        <f t="shared" si="57"/>
        <v>27768</v>
      </c>
      <c r="Y73" s="41">
        <f>VLOOKUP(A73,kurspris!$A$1:$Q$225,17,FALSE)</f>
        <v>5900</v>
      </c>
      <c r="Z73" s="41">
        <f t="shared" si="58"/>
        <v>2950</v>
      </c>
      <c r="AA73" s="41">
        <f t="shared" si="59"/>
        <v>30718</v>
      </c>
      <c r="AB73" s="32">
        <f>VLOOKUP($A73,kurspris!$A$1:$Q$262,3,FALSE)</f>
        <v>0</v>
      </c>
      <c r="AC73" s="32">
        <f>VLOOKUP($A73,kurspris!$A$1:$Q$262,4,FALSE)</f>
        <v>0</v>
      </c>
      <c r="AD73" s="32">
        <f>VLOOKUP($A73,kurspris!$A$1:$Q$262,5,FALSE)</f>
        <v>0</v>
      </c>
      <c r="AE73" s="32">
        <f>VLOOKUP($A73,kurspris!$A$1:$Q$262,6,FALSE)</f>
        <v>1</v>
      </c>
      <c r="AF73" s="32">
        <f>VLOOKUP($A73,kurspris!$A$1:$Q$262,7,FALSE)</f>
        <v>0</v>
      </c>
      <c r="AG73" s="32">
        <f>VLOOKUP($A73,kurspris!$A$1:$Q$262,8,FALSE)</f>
        <v>0</v>
      </c>
      <c r="AH73" s="32">
        <f>VLOOKUP($A73,kurspris!$A$1:$Q$262,9,FALSE)</f>
        <v>0</v>
      </c>
      <c r="AI73" s="32">
        <f>VLOOKUP($A73,kurspris!$A$1:$Q$262,10,FALSE)</f>
        <v>0</v>
      </c>
      <c r="AJ73" s="32">
        <f>VLOOKUP($A73,kurspris!$A$1:$Q$262,11,FALSE)</f>
        <v>0</v>
      </c>
      <c r="AK73" s="32">
        <f>VLOOKUP($A73,kurspris!$A$1:$Q$262,12,FALSE)</f>
        <v>0</v>
      </c>
      <c r="AL73" s="32">
        <f>VLOOKUP($A73,kurspris!$A$1:$Q$262,13,FALSE)</f>
        <v>0</v>
      </c>
      <c r="AM73" s="32">
        <f>VLOOKUP($A73,kurspris!$A$1:$Q$262,14,FALSE)</f>
        <v>0</v>
      </c>
      <c r="AN73" s="38" t="s">
        <v>946</v>
      </c>
      <c r="AO73"/>
      <c r="AP73" s="32">
        <f t="shared" si="60"/>
        <v>0</v>
      </c>
      <c r="AQ73" s="234">
        <f t="shared" si="61"/>
        <v>0</v>
      </c>
      <c r="AR73" s="32">
        <f t="shared" si="62"/>
        <v>0</v>
      </c>
      <c r="AS73" s="234">
        <f t="shared" si="63"/>
        <v>0</v>
      </c>
      <c r="AT73" s="32">
        <f t="shared" si="64"/>
        <v>0</v>
      </c>
      <c r="AU73" s="32">
        <f t="shared" si="65"/>
        <v>0</v>
      </c>
      <c r="AV73" s="32">
        <f t="shared" si="66"/>
        <v>0.5</v>
      </c>
      <c r="AW73" s="234">
        <f t="shared" si="67"/>
        <v>0.5</v>
      </c>
      <c r="AX73" s="226">
        <f t="shared" si="68"/>
        <v>0</v>
      </c>
      <c r="AY73" s="234">
        <f t="shared" si="69"/>
        <v>0</v>
      </c>
      <c r="AZ73" s="32">
        <f t="shared" si="70"/>
        <v>0</v>
      </c>
      <c r="BA73" s="234">
        <f t="shared" si="71"/>
        <v>0</v>
      </c>
      <c r="BB73" s="32">
        <f t="shared" si="72"/>
        <v>0</v>
      </c>
      <c r="BC73" s="234">
        <f t="shared" si="73"/>
        <v>0</v>
      </c>
      <c r="BD73" s="32">
        <f t="shared" si="74"/>
        <v>0</v>
      </c>
      <c r="BE73" s="234">
        <f t="shared" si="75"/>
        <v>0</v>
      </c>
      <c r="BF73" s="32">
        <f t="shared" si="76"/>
        <v>0</v>
      </c>
      <c r="BG73" s="234">
        <f t="shared" si="77"/>
        <v>0</v>
      </c>
      <c r="BH73" s="32">
        <f t="shared" si="78"/>
        <v>0</v>
      </c>
      <c r="BI73" s="32">
        <f t="shared" si="79"/>
        <v>0</v>
      </c>
      <c r="BJ73" s="234">
        <f t="shared" si="80"/>
        <v>0</v>
      </c>
      <c r="BK73" s="32">
        <f t="shared" si="81"/>
        <v>0</v>
      </c>
      <c r="BL73" s="234">
        <f t="shared" si="82"/>
        <v>0</v>
      </c>
    </row>
    <row r="74" spans="1:64" ht="15" customHeight="1" x14ac:dyDescent="0.25">
      <c r="A74" s="393" t="s">
        <v>609</v>
      </c>
      <c r="B74" s="26" t="str">
        <f>VLOOKUP(A74,kurspris!$A$1:$B$304,2,FALSE)</f>
        <v>Vetenskap och kunskap - grundnivå (VAL, ULV)</v>
      </c>
      <c r="C74" s="351"/>
      <c r="D74" s="32" t="s">
        <v>74</v>
      </c>
      <c r="E74" s="59" t="s">
        <v>929</v>
      </c>
      <c r="F74" s="59" t="s">
        <v>933</v>
      </c>
      <c r="G74" s="32" t="s">
        <v>937</v>
      </c>
      <c r="H74" s="59"/>
      <c r="K74" s="37"/>
      <c r="L74" s="32">
        <v>50</v>
      </c>
      <c r="M74" s="32">
        <v>7.5</v>
      </c>
      <c r="N74" s="32">
        <v>6</v>
      </c>
      <c r="O74" s="234">
        <f t="shared" si="55"/>
        <v>0.75</v>
      </c>
      <c r="P74" s="39">
        <v>1</v>
      </c>
      <c r="Q74" s="234">
        <f t="shared" si="56"/>
        <v>0.75</v>
      </c>
      <c r="R74" s="32">
        <f>VLOOKUP(A74,'Ansvar kurs'!$A$1:$C$399,2,FALSE)</f>
        <v>5740</v>
      </c>
      <c r="S74" s="32" t="str">
        <f>VLOOKUP(R74,Orgenheter!$A$1:$C$166,2,FALSE)</f>
        <v>NMD</v>
      </c>
      <c r="T74" s="32" t="str">
        <f>VLOOKUP(R74,Orgenheter!$A$1:$C$166,3,FALSE)</f>
        <v>TekNat</v>
      </c>
      <c r="U74" s="37" t="str">
        <f>VLOOKUP(D74,Program!$A$1:$B$34,2,FALSE)</f>
        <v>VAL-projektet</v>
      </c>
      <c r="V74" s="41">
        <f>VLOOKUP(A74,kurspris!$A$1:$Q$225,15,FALSE)</f>
        <v>24104</v>
      </c>
      <c r="W74" s="41">
        <f>VLOOKUP(A74,kurspris!$A$1:$Q$225,16,FALSE)</f>
        <v>31432</v>
      </c>
      <c r="X74" s="41">
        <f t="shared" si="57"/>
        <v>41652</v>
      </c>
      <c r="Y74" s="41">
        <f>VLOOKUP(A74,kurspris!$A$1:$Q$225,17,FALSE)</f>
        <v>5900</v>
      </c>
      <c r="Z74" s="41">
        <f t="shared" si="58"/>
        <v>4425</v>
      </c>
      <c r="AA74" s="41">
        <f t="shared" si="59"/>
        <v>46077</v>
      </c>
      <c r="AB74" s="32">
        <f>VLOOKUP($A74,kurspris!$A$1:$Q$262,3,FALSE)</f>
        <v>0</v>
      </c>
      <c r="AC74" s="32">
        <f>VLOOKUP($A74,kurspris!$A$1:$Q$262,4,FALSE)</f>
        <v>0</v>
      </c>
      <c r="AD74" s="32">
        <f>VLOOKUP($A74,kurspris!$A$1:$Q$262,5,FALSE)</f>
        <v>0</v>
      </c>
      <c r="AE74" s="32">
        <f>VLOOKUP($A74,kurspris!$A$1:$Q$262,6,FALSE)</f>
        <v>1</v>
      </c>
      <c r="AF74" s="32">
        <f>VLOOKUP($A74,kurspris!$A$1:$Q$262,7,FALSE)</f>
        <v>0</v>
      </c>
      <c r="AG74" s="32">
        <f>VLOOKUP($A74,kurspris!$A$1:$Q$262,8,FALSE)</f>
        <v>0</v>
      </c>
      <c r="AH74" s="32">
        <f>VLOOKUP($A74,kurspris!$A$1:$Q$262,9,FALSE)</f>
        <v>0</v>
      </c>
      <c r="AI74" s="32">
        <f>VLOOKUP($A74,kurspris!$A$1:$Q$262,10,FALSE)</f>
        <v>0</v>
      </c>
      <c r="AJ74" s="32">
        <f>VLOOKUP($A74,kurspris!$A$1:$Q$262,11,FALSE)</f>
        <v>0</v>
      </c>
      <c r="AK74" s="32">
        <f>VLOOKUP($A74,kurspris!$A$1:$Q$262,12,FALSE)</f>
        <v>0</v>
      </c>
      <c r="AL74" s="32">
        <f>VLOOKUP($A74,kurspris!$A$1:$Q$262,13,FALSE)</f>
        <v>0</v>
      </c>
      <c r="AM74" s="32">
        <f>VLOOKUP($A74,kurspris!$A$1:$Q$262,14,FALSE)</f>
        <v>0</v>
      </c>
      <c r="AN74" s="38" t="s">
        <v>946</v>
      </c>
      <c r="AO74"/>
      <c r="AP74" s="32">
        <f t="shared" si="60"/>
        <v>0</v>
      </c>
      <c r="AQ74" s="234">
        <f t="shared" si="61"/>
        <v>0</v>
      </c>
      <c r="AR74" s="32">
        <f t="shared" si="62"/>
        <v>0</v>
      </c>
      <c r="AS74" s="234">
        <f t="shared" si="63"/>
        <v>0</v>
      </c>
      <c r="AT74" s="32">
        <f t="shared" si="64"/>
        <v>0</v>
      </c>
      <c r="AU74" s="32">
        <f t="shared" si="65"/>
        <v>0</v>
      </c>
      <c r="AV74" s="32">
        <f t="shared" si="66"/>
        <v>0.75</v>
      </c>
      <c r="AW74" s="234">
        <f t="shared" si="67"/>
        <v>0.75</v>
      </c>
      <c r="AX74" s="226">
        <f t="shared" si="68"/>
        <v>0</v>
      </c>
      <c r="AY74" s="234">
        <f t="shared" si="69"/>
        <v>0</v>
      </c>
      <c r="AZ74" s="32">
        <f t="shared" si="70"/>
        <v>0</v>
      </c>
      <c r="BA74" s="234">
        <f t="shared" si="71"/>
        <v>0</v>
      </c>
      <c r="BB74" s="32">
        <f t="shared" si="72"/>
        <v>0</v>
      </c>
      <c r="BC74" s="234">
        <f t="shared" si="73"/>
        <v>0</v>
      </c>
      <c r="BD74" s="32">
        <f t="shared" si="74"/>
        <v>0</v>
      </c>
      <c r="BE74" s="234">
        <f t="shared" si="75"/>
        <v>0</v>
      </c>
      <c r="BF74" s="32">
        <f t="shared" si="76"/>
        <v>0</v>
      </c>
      <c r="BG74" s="234">
        <f t="shared" si="77"/>
        <v>0</v>
      </c>
      <c r="BH74" s="32">
        <f t="shared" si="78"/>
        <v>0</v>
      </c>
      <c r="BI74" s="32">
        <f t="shared" si="79"/>
        <v>0</v>
      </c>
      <c r="BJ74" s="234">
        <f t="shared" si="80"/>
        <v>0</v>
      </c>
      <c r="BK74" s="32">
        <f t="shared" si="81"/>
        <v>0</v>
      </c>
      <c r="BL74" s="234">
        <f t="shared" si="82"/>
        <v>0</v>
      </c>
    </row>
    <row r="75" spans="1:64" ht="15" customHeight="1" x14ac:dyDescent="0.25">
      <c r="A75" s="392" t="s">
        <v>609</v>
      </c>
      <c r="B75" s="26" t="str">
        <f>VLOOKUP(A75,kurspris!$A$1:$B$304,2,FALSE)</f>
        <v>Vetenskap och kunskap - grundnivå (VAL, ULV)</v>
      </c>
      <c r="C75" s="56"/>
      <c r="D75" s="32" t="s">
        <v>74</v>
      </c>
      <c r="E75" s="59" t="s">
        <v>925</v>
      </c>
      <c r="F75" s="59" t="s">
        <v>933</v>
      </c>
      <c r="G75" s="59" t="s">
        <v>937</v>
      </c>
      <c r="H75" s="59"/>
      <c r="K75" s="37"/>
      <c r="L75" s="32">
        <v>50</v>
      </c>
      <c r="M75" s="32">
        <v>7.5</v>
      </c>
      <c r="N75" s="32">
        <v>16</v>
      </c>
      <c r="O75" s="234">
        <f t="shared" si="55"/>
        <v>2</v>
      </c>
      <c r="P75" s="39">
        <v>1</v>
      </c>
      <c r="Q75" s="234">
        <f t="shared" si="56"/>
        <v>2</v>
      </c>
      <c r="R75" s="32">
        <f>VLOOKUP(A75,'Ansvar kurs'!$A$1:$C$399,2,FALSE)</f>
        <v>5740</v>
      </c>
      <c r="S75" s="32" t="str">
        <f>VLOOKUP(R75,Orgenheter!$A$1:$C$166,2,FALSE)</f>
        <v>NMD</v>
      </c>
      <c r="T75" s="32" t="str">
        <f>VLOOKUP(R75,Orgenheter!$A$1:$C$166,3,FALSE)</f>
        <v>TekNat</v>
      </c>
      <c r="U75" s="37" t="str">
        <f>VLOOKUP(D75,Program!$A$1:$B$34,2,FALSE)</f>
        <v>VAL-projektet</v>
      </c>
      <c r="V75" s="41">
        <f>VLOOKUP(A75,kurspris!$A$1:$Q$225,15,FALSE)</f>
        <v>24104</v>
      </c>
      <c r="W75" s="41">
        <f>VLOOKUP(A75,kurspris!$A$1:$Q$225,16,FALSE)</f>
        <v>31432</v>
      </c>
      <c r="X75" s="41">
        <f t="shared" si="57"/>
        <v>111072</v>
      </c>
      <c r="Y75" s="41">
        <f>VLOOKUP(A75,kurspris!$A$1:$Q$225,17,FALSE)</f>
        <v>5900</v>
      </c>
      <c r="Z75" s="41">
        <f t="shared" si="58"/>
        <v>11800</v>
      </c>
      <c r="AA75" s="41">
        <f t="shared" si="59"/>
        <v>122872</v>
      </c>
      <c r="AB75" s="32">
        <f>VLOOKUP($A75,kurspris!$A$1:$Q$262,3,FALSE)</f>
        <v>0</v>
      </c>
      <c r="AC75" s="32">
        <f>VLOOKUP($A75,kurspris!$A$1:$Q$262,4,FALSE)</f>
        <v>0</v>
      </c>
      <c r="AD75" s="32">
        <f>VLOOKUP($A75,kurspris!$A$1:$Q$262,5,FALSE)</f>
        <v>0</v>
      </c>
      <c r="AE75" s="32">
        <f>VLOOKUP($A75,kurspris!$A$1:$Q$262,6,FALSE)</f>
        <v>1</v>
      </c>
      <c r="AF75" s="32">
        <f>VLOOKUP($A75,kurspris!$A$1:$Q$262,7,FALSE)</f>
        <v>0</v>
      </c>
      <c r="AG75" s="32">
        <f>VLOOKUP($A75,kurspris!$A$1:$Q$262,8,FALSE)</f>
        <v>0</v>
      </c>
      <c r="AH75" s="32">
        <f>VLOOKUP($A75,kurspris!$A$1:$Q$262,9,FALSE)</f>
        <v>0</v>
      </c>
      <c r="AI75" s="32">
        <f>VLOOKUP($A75,kurspris!$A$1:$Q$262,10,FALSE)</f>
        <v>0</v>
      </c>
      <c r="AJ75" s="32">
        <f>VLOOKUP($A75,kurspris!$A$1:$Q$262,11,FALSE)</f>
        <v>0</v>
      </c>
      <c r="AK75" s="32">
        <f>VLOOKUP($A75,kurspris!$A$1:$Q$262,12,FALSE)</f>
        <v>0</v>
      </c>
      <c r="AL75" s="32">
        <f>VLOOKUP($A75,kurspris!$A$1:$Q$262,13,FALSE)</f>
        <v>0</v>
      </c>
      <c r="AM75" s="32">
        <f>VLOOKUP($A75,kurspris!$A$1:$Q$262,14,FALSE)</f>
        <v>0</v>
      </c>
      <c r="AN75" s="38" t="s">
        <v>946</v>
      </c>
      <c r="AO75"/>
      <c r="AP75" s="32">
        <f t="shared" si="60"/>
        <v>0</v>
      </c>
      <c r="AQ75" s="234">
        <f t="shared" si="61"/>
        <v>0</v>
      </c>
      <c r="AR75" s="32">
        <f t="shared" si="62"/>
        <v>0</v>
      </c>
      <c r="AS75" s="234">
        <f t="shared" si="63"/>
        <v>0</v>
      </c>
      <c r="AT75" s="32">
        <f t="shared" si="64"/>
        <v>0</v>
      </c>
      <c r="AU75" s="32">
        <f t="shared" si="65"/>
        <v>0</v>
      </c>
      <c r="AV75" s="32">
        <f t="shared" si="66"/>
        <v>2</v>
      </c>
      <c r="AW75" s="234">
        <f t="shared" si="67"/>
        <v>2</v>
      </c>
      <c r="AX75" s="226">
        <f t="shared" si="68"/>
        <v>0</v>
      </c>
      <c r="AY75" s="234">
        <f t="shared" si="69"/>
        <v>0</v>
      </c>
      <c r="AZ75" s="32">
        <f t="shared" si="70"/>
        <v>0</v>
      </c>
      <c r="BA75" s="234">
        <f t="shared" si="71"/>
        <v>0</v>
      </c>
      <c r="BB75" s="32">
        <f t="shared" si="72"/>
        <v>0</v>
      </c>
      <c r="BC75" s="234">
        <f t="shared" si="73"/>
        <v>0</v>
      </c>
      <c r="BD75" s="32">
        <f t="shared" si="74"/>
        <v>0</v>
      </c>
      <c r="BE75" s="234">
        <f t="shared" si="75"/>
        <v>0</v>
      </c>
      <c r="BF75" s="32">
        <f t="shared" si="76"/>
        <v>0</v>
      </c>
      <c r="BG75" s="234">
        <f t="shared" si="77"/>
        <v>0</v>
      </c>
      <c r="BH75" s="32">
        <f t="shared" si="78"/>
        <v>0</v>
      </c>
      <c r="BI75" s="32">
        <f t="shared" si="79"/>
        <v>0</v>
      </c>
      <c r="BJ75" s="234">
        <f t="shared" si="80"/>
        <v>0</v>
      </c>
      <c r="BK75" s="32">
        <f t="shared" si="81"/>
        <v>0</v>
      </c>
      <c r="BL75" s="234">
        <f t="shared" si="82"/>
        <v>0</v>
      </c>
    </row>
    <row r="76" spans="1:64" ht="15" customHeight="1" x14ac:dyDescent="0.25">
      <c r="A76" s="392" t="s">
        <v>609</v>
      </c>
      <c r="B76" s="26" t="str">
        <f>VLOOKUP(A76,kurspris!$A$1:$B$304,2,FALSE)</f>
        <v>Vetenskap och kunskap - grundnivå (VAL, ULV)</v>
      </c>
      <c r="C76" s="56"/>
      <c r="D76" s="32" t="s">
        <v>74</v>
      </c>
      <c r="E76" s="59" t="s">
        <v>930</v>
      </c>
      <c r="F76" s="59" t="s">
        <v>933</v>
      </c>
      <c r="G76" s="59" t="s">
        <v>937</v>
      </c>
      <c r="H76" s="59"/>
      <c r="K76" s="37"/>
      <c r="L76" s="32">
        <v>50</v>
      </c>
      <c r="M76" s="32">
        <v>7.5</v>
      </c>
      <c r="N76" s="32">
        <v>1</v>
      </c>
      <c r="O76" s="234">
        <f t="shared" si="55"/>
        <v>0.125</v>
      </c>
      <c r="P76" s="39">
        <v>1</v>
      </c>
      <c r="Q76" s="234">
        <f t="shared" si="56"/>
        <v>0.125</v>
      </c>
      <c r="R76" s="32">
        <f>VLOOKUP(A76,'Ansvar kurs'!$A$1:$C$399,2,FALSE)</f>
        <v>5740</v>
      </c>
      <c r="S76" s="32" t="str">
        <f>VLOOKUP(R76,Orgenheter!$A$1:$C$166,2,FALSE)</f>
        <v>NMD</v>
      </c>
      <c r="T76" s="32" t="str">
        <f>VLOOKUP(R76,Orgenheter!$A$1:$C$166,3,FALSE)</f>
        <v>TekNat</v>
      </c>
      <c r="U76" s="37" t="str">
        <f>VLOOKUP(D76,Program!$A$1:$B$34,2,FALSE)</f>
        <v>VAL-projektet</v>
      </c>
      <c r="V76" s="41">
        <f>VLOOKUP(A76,kurspris!$A$1:$Q$225,15,FALSE)</f>
        <v>24104</v>
      </c>
      <c r="W76" s="41">
        <f>VLOOKUP(A76,kurspris!$A$1:$Q$225,16,FALSE)</f>
        <v>31432</v>
      </c>
      <c r="X76" s="41">
        <f t="shared" si="57"/>
        <v>6942</v>
      </c>
      <c r="Y76" s="41">
        <f>VLOOKUP(A76,kurspris!$A$1:$Q$225,17,FALSE)</f>
        <v>5900</v>
      </c>
      <c r="Z76" s="41">
        <f t="shared" si="58"/>
        <v>737.5</v>
      </c>
      <c r="AA76" s="41">
        <f t="shared" si="59"/>
        <v>7679.5</v>
      </c>
      <c r="AB76" s="32">
        <f>VLOOKUP($A76,kurspris!$A$1:$Q$262,3,FALSE)</f>
        <v>0</v>
      </c>
      <c r="AC76" s="32">
        <f>VLOOKUP($A76,kurspris!$A$1:$Q$262,4,FALSE)</f>
        <v>0</v>
      </c>
      <c r="AD76" s="32">
        <f>VLOOKUP($A76,kurspris!$A$1:$Q$262,5,FALSE)</f>
        <v>0</v>
      </c>
      <c r="AE76" s="32">
        <f>VLOOKUP($A76,kurspris!$A$1:$Q$262,6,FALSE)</f>
        <v>1</v>
      </c>
      <c r="AF76" s="32">
        <f>VLOOKUP($A76,kurspris!$A$1:$Q$262,7,FALSE)</f>
        <v>0</v>
      </c>
      <c r="AG76" s="32">
        <f>VLOOKUP($A76,kurspris!$A$1:$Q$262,8,FALSE)</f>
        <v>0</v>
      </c>
      <c r="AH76" s="32">
        <f>VLOOKUP($A76,kurspris!$A$1:$Q$262,9,FALSE)</f>
        <v>0</v>
      </c>
      <c r="AI76" s="32">
        <f>VLOOKUP($A76,kurspris!$A$1:$Q$262,10,FALSE)</f>
        <v>0</v>
      </c>
      <c r="AJ76" s="32">
        <f>VLOOKUP($A76,kurspris!$A$1:$Q$262,11,FALSE)</f>
        <v>0</v>
      </c>
      <c r="AK76" s="32">
        <f>VLOOKUP($A76,kurspris!$A$1:$Q$262,12,FALSE)</f>
        <v>0</v>
      </c>
      <c r="AL76" s="32">
        <f>VLOOKUP($A76,kurspris!$A$1:$Q$262,13,FALSE)</f>
        <v>0</v>
      </c>
      <c r="AM76" s="32">
        <f>VLOOKUP($A76,kurspris!$A$1:$Q$262,14,FALSE)</f>
        <v>0</v>
      </c>
      <c r="AN76" s="38" t="s">
        <v>946</v>
      </c>
      <c r="AO76"/>
      <c r="AP76" s="32">
        <f t="shared" si="60"/>
        <v>0</v>
      </c>
      <c r="AQ76" s="234">
        <f t="shared" si="61"/>
        <v>0</v>
      </c>
      <c r="AR76" s="32">
        <f t="shared" si="62"/>
        <v>0</v>
      </c>
      <c r="AS76" s="234">
        <f t="shared" si="63"/>
        <v>0</v>
      </c>
      <c r="AT76" s="32">
        <f t="shared" si="64"/>
        <v>0</v>
      </c>
      <c r="AU76" s="32">
        <f t="shared" si="65"/>
        <v>0</v>
      </c>
      <c r="AV76" s="32">
        <f t="shared" si="66"/>
        <v>0.125</v>
      </c>
      <c r="AW76" s="234">
        <f t="shared" si="67"/>
        <v>0.125</v>
      </c>
      <c r="AX76" s="226">
        <f t="shared" si="68"/>
        <v>0</v>
      </c>
      <c r="AY76" s="234">
        <f t="shared" si="69"/>
        <v>0</v>
      </c>
      <c r="AZ76" s="32">
        <f t="shared" si="70"/>
        <v>0</v>
      </c>
      <c r="BA76" s="234">
        <f t="shared" si="71"/>
        <v>0</v>
      </c>
      <c r="BB76" s="32">
        <f t="shared" si="72"/>
        <v>0</v>
      </c>
      <c r="BC76" s="234">
        <f t="shared" si="73"/>
        <v>0</v>
      </c>
      <c r="BD76" s="32">
        <f t="shared" si="74"/>
        <v>0</v>
      </c>
      <c r="BE76" s="234">
        <f t="shared" si="75"/>
        <v>0</v>
      </c>
      <c r="BF76" s="32">
        <f t="shared" si="76"/>
        <v>0</v>
      </c>
      <c r="BG76" s="234">
        <f t="shared" si="77"/>
        <v>0</v>
      </c>
      <c r="BH76" s="32">
        <f t="shared" si="78"/>
        <v>0</v>
      </c>
      <c r="BI76" s="32">
        <f t="shared" si="79"/>
        <v>0</v>
      </c>
      <c r="BJ76" s="234">
        <f t="shared" si="80"/>
        <v>0</v>
      </c>
      <c r="BK76" s="32">
        <f t="shared" si="81"/>
        <v>0</v>
      </c>
      <c r="BL76" s="234">
        <f t="shared" si="82"/>
        <v>0</v>
      </c>
    </row>
    <row r="77" spans="1:64" x14ac:dyDescent="0.25">
      <c r="A77" s="221" t="s">
        <v>609</v>
      </c>
      <c r="B77" s="26" t="str">
        <f>VLOOKUP(A77,kurspris!$A$1:$B$304,2,FALSE)</f>
        <v>Vetenskap och kunskap - grundnivå (VAL, ULV)</v>
      </c>
      <c r="C77" s="56"/>
      <c r="D77" s="32" t="s">
        <v>74</v>
      </c>
      <c r="E77" s="59" t="s">
        <v>926</v>
      </c>
      <c r="F77" s="59" t="s">
        <v>933</v>
      </c>
      <c r="G77" s="59" t="s">
        <v>937</v>
      </c>
      <c r="H77" s="59"/>
      <c r="K77" s="37"/>
      <c r="L77" s="32">
        <v>50</v>
      </c>
      <c r="M77" s="32">
        <v>7.5</v>
      </c>
      <c r="N77" s="32">
        <v>1</v>
      </c>
      <c r="O77" s="234">
        <f t="shared" si="55"/>
        <v>0.125</v>
      </c>
      <c r="P77" s="39">
        <v>1</v>
      </c>
      <c r="Q77" s="234">
        <f t="shared" si="56"/>
        <v>0.125</v>
      </c>
      <c r="R77" s="32">
        <f>VLOOKUP(A77,'Ansvar kurs'!$A$1:$C$399,2,FALSE)</f>
        <v>5740</v>
      </c>
      <c r="S77" s="32" t="str">
        <f>VLOOKUP(R77,Orgenheter!$A$1:$C$166,2,FALSE)</f>
        <v>NMD</v>
      </c>
      <c r="T77" s="32" t="str">
        <f>VLOOKUP(R77,Orgenheter!$A$1:$C$166,3,FALSE)</f>
        <v>TekNat</v>
      </c>
      <c r="U77" s="37" t="str">
        <f>VLOOKUP(D77,Program!$A$1:$B$34,2,FALSE)</f>
        <v>VAL-projektet</v>
      </c>
      <c r="V77" s="41">
        <f>VLOOKUP(A77,kurspris!$A$1:$Q$225,15,FALSE)</f>
        <v>24104</v>
      </c>
      <c r="W77" s="41">
        <f>VLOOKUP(A77,kurspris!$A$1:$Q$225,16,FALSE)</f>
        <v>31432</v>
      </c>
      <c r="X77" s="41">
        <f t="shared" si="57"/>
        <v>6942</v>
      </c>
      <c r="Y77" s="41">
        <f>VLOOKUP(A77,kurspris!$A$1:$Q$225,17,FALSE)</f>
        <v>5900</v>
      </c>
      <c r="Z77" s="41">
        <f t="shared" si="58"/>
        <v>737.5</v>
      </c>
      <c r="AA77" s="41">
        <f t="shared" si="59"/>
        <v>7679.5</v>
      </c>
      <c r="AB77" s="32">
        <f>VLOOKUP($A77,kurspris!$A$1:$Q$262,3,FALSE)</f>
        <v>0</v>
      </c>
      <c r="AC77" s="32">
        <f>VLOOKUP($A77,kurspris!$A$1:$Q$262,4,FALSE)</f>
        <v>0</v>
      </c>
      <c r="AD77" s="32">
        <f>VLOOKUP($A77,kurspris!$A$1:$Q$262,5,FALSE)</f>
        <v>0</v>
      </c>
      <c r="AE77" s="32">
        <f>VLOOKUP($A77,kurspris!$A$1:$Q$262,6,FALSE)</f>
        <v>1</v>
      </c>
      <c r="AF77" s="32">
        <f>VLOOKUP($A77,kurspris!$A$1:$Q$262,7,FALSE)</f>
        <v>0</v>
      </c>
      <c r="AG77" s="32">
        <f>VLOOKUP($A77,kurspris!$A$1:$Q$262,8,FALSE)</f>
        <v>0</v>
      </c>
      <c r="AH77" s="32">
        <f>VLOOKUP($A77,kurspris!$A$1:$Q$262,9,FALSE)</f>
        <v>0</v>
      </c>
      <c r="AI77" s="32">
        <f>VLOOKUP($A77,kurspris!$A$1:$Q$262,10,FALSE)</f>
        <v>0</v>
      </c>
      <c r="AJ77" s="32">
        <f>VLOOKUP($A77,kurspris!$A$1:$Q$262,11,FALSE)</f>
        <v>0</v>
      </c>
      <c r="AK77" s="32">
        <f>VLOOKUP($A77,kurspris!$A$1:$Q$262,12,FALSE)</f>
        <v>0</v>
      </c>
      <c r="AL77" s="32">
        <f>VLOOKUP($A77,kurspris!$A$1:$Q$262,13,FALSE)</f>
        <v>0</v>
      </c>
      <c r="AM77" s="32">
        <f>VLOOKUP($A77,kurspris!$A$1:$Q$262,14,FALSE)</f>
        <v>0</v>
      </c>
      <c r="AN77" s="38" t="s">
        <v>946</v>
      </c>
      <c r="AO77" s="38"/>
      <c r="AP77" s="32">
        <f t="shared" si="60"/>
        <v>0</v>
      </c>
      <c r="AQ77" s="234">
        <f t="shared" si="61"/>
        <v>0</v>
      </c>
      <c r="AR77" s="32">
        <f t="shared" si="62"/>
        <v>0</v>
      </c>
      <c r="AS77" s="234">
        <f t="shared" si="63"/>
        <v>0</v>
      </c>
      <c r="AT77" s="32">
        <f t="shared" si="64"/>
        <v>0</v>
      </c>
      <c r="AU77" s="32">
        <f t="shared" si="65"/>
        <v>0</v>
      </c>
      <c r="AV77" s="32">
        <f t="shared" si="66"/>
        <v>0.125</v>
      </c>
      <c r="AW77" s="234">
        <f t="shared" si="67"/>
        <v>0.125</v>
      </c>
      <c r="AX77" s="226">
        <f t="shared" si="68"/>
        <v>0</v>
      </c>
      <c r="AY77" s="234">
        <f t="shared" si="69"/>
        <v>0</v>
      </c>
      <c r="AZ77" s="32">
        <f t="shared" si="70"/>
        <v>0</v>
      </c>
      <c r="BA77" s="234">
        <f t="shared" si="71"/>
        <v>0</v>
      </c>
      <c r="BB77" s="32">
        <f t="shared" si="72"/>
        <v>0</v>
      </c>
      <c r="BC77" s="234">
        <f t="shared" si="73"/>
        <v>0</v>
      </c>
      <c r="BD77" s="32">
        <f t="shared" si="74"/>
        <v>0</v>
      </c>
      <c r="BE77" s="234">
        <f t="shared" si="75"/>
        <v>0</v>
      </c>
      <c r="BF77" s="32">
        <f t="shared" si="76"/>
        <v>0</v>
      </c>
      <c r="BG77" s="234">
        <f t="shared" si="77"/>
        <v>0</v>
      </c>
      <c r="BH77" s="32">
        <f t="shared" si="78"/>
        <v>0</v>
      </c>
      <c r="BI77" s="32">
        <f t="shared" si="79"/>
        <v>0</v>
      </c>
      <c r="BJ77" s="234">
        <f t="shared" si="80"/>
        <v>0</v>
      </c>
      <c r="BK77" s="32">
        <f t="shared" si="81"/>
        <v>0</v>
      </c>
      <c r="BL77" s="234">
        <f t="shared" si="82"/>
        <v>0</v>
      </c>
    </row>
    <row r="78" spans="1:64" x14ac:dyDescent="0.25">
      <c r="A78" s="392" t="s">
        <v>609</v>
      </c>
      <c r="B78" s="26" t="str">
        <f>VLOOKUP(A78,kurspris!$A$1:$B$304,2,FALSE)</f>
        <v>Vetenskap och kunskap - grundnivå (VAL, ULV)</v>
      </c>
      <c r="C78" s="56"/>
      <c r="D78" s="32" t="s">
        <v>74</v>
      </c>
      <c r="E78" s="59" t="s">
        <v>927</v>
      </c>
      <c r="F78" s="59" t="s">
        <v>933</v>
      </c>
      <c r="G78" s="59" t="s">
        <v>937</v>
      </c>
      <c r="H78" s="59"/>
      <c r="K78" s="37"/>
      <c r="L78" s="32">
        <v>50</v>
      </c>
      <c r="M78" s="32">
        <v>7.5</v>
      </c>
      <c r="N78" s="32">
        <v>4</v>
      </c>
      <c r="O78" s="234">
        <f t="shared" si="55"/>
        <v>0.5</v>
      </c>
      <c r="P78" s="39">
        <v>1</v>
      </c>
      <c r="Q78" s="234">
        <f t="shared" si="56"/>
        <v>0.5</v>
      </c>
      <c r="R78" s="32">
        <f>VLOOKUP(A78,'Ansvar kurs'!$A$1:$C$399,2,FALSE)</f>
        <v>5740</v>
      </c>
      <c r="S78" s="32" t="str">
        <f>VLOOKUP(R78,Orgenheter!$A$1:$C$166,2,FALSE)</f>
        <v>NMD</v>
      </c>
      <c r="T78" s="32" t="str">
        <f>VLOOKUP(R78,Orgenheter!$A$1:$C$166,3,FALSE)</f>
        <v>TekNat</v>
      </c>
      <c r="U78" s="37" t="str">
        <f>VLOOKUP(D78,Program!$A$1:$B$34,2,FALSE)</f>
        <v>VAL-projektet</v>
      </c>
      <c r="V78" s="41">
        <f>VLOOKUP(A78,kurspris!$A$1:$Q$225,15,FALSE)</f>
        <v>24104</v>
      </c>
      <c r="W78" s="41">
        <f>VLOOKUP(A78,kurspris!$A$1:$Q$225,16,FALSE)</f>
        <v>31432</v>
      </c>
      <c r="X78" s="41">
        <f t="shared" si="57"/>
        <v>27768</v>
      </c>
      <c r="Y78" s="41">
        <f>VLOOKUP(A78,kurspris!$A$1:$Q$225,17,FALSE)</f>
        <v>5900</v>
      </c>
      <c r="Z78" s="41">
        <f t="shared" si="58"/>
        <v>2950</v>
      </c>
      <c r="AA78" s="41">
        <f t="shared" si="59"/>
        <v>30718</v>
      </c>
      <c r="AB78" s="32">
        <f>VLOOKUP($A78,kurspris!$A$1:$Q$262,3,FALSE)</f>
        <v>0</v>
      </c>
      <c r="AC78" s="32">
        <f>VLOOKUP($A78,kurspris!$A$1:$Q$262,4,FALSE)</f>
        <v>0</v>
      </c>
      <c r="AD78" s="32">
        <f>VLOOKUP($A78,kurspris!$A$1:$Q$262,5,FALSE)</f>
        <v>0</v>
      </c>
      <c r="AE78" s="32">
        <f>VLOOKUP($A78,kurspris!$A$1:$Q$262,6,FALSE)</f>
        <v>1</v>
      </c>
      <c r="AF78" s="32">
        <f>VLOOKUP($A78,kurspris!$A$1:$Q$262,7,FALSE)</f>
        <v>0</v>
      </c>
      <c r="AG78" s="32">
        <f>VLOOKUP($A78,kurspris!$A$1:$Q$262,8,FALSE)</f>
        <v>0</v>
      </c>
      <c r="AH78" s="32">
        <f>VLOOKUP($A78,kurspris!$A$1:$Q$262,9,FALSE)</f>
        <v>0</v>
      </c>
      <c r="AI78" s="32">
        <f>VLOOKUP($A78,kurspris!$A$1:$Q$262,10,FALSE)</f>
        <v>0</v>
      </c>
      <c r="AJ78" s="32">
        <f>VLOOKUP($A78,kurspris!$A$1:$Q$262,11,FALSE)</f>
        <v>0</v>
      </c>
      <c r="AK78" s="32">
        <f>VLOOKUP($A78,kurspris!$A$1:$Q$262,12,FALSE)</f>
        <v>0</v>
      </c>
      <c r="AL78" s="32">
        <f>VLOOKUP($A78,kurspris!$A$1:$Q$262,13,FALSE)</f>
        <v>0</v>
      </c>
      <c r="AM78" s="32">
        <f>VLOOKUP($A78,kurspris!$A$1:$Q$262,14,FALSE)</f>
        <v>0</v>
      </c>
      <c r="AN78" s="38" t="s">
        <v>946</v>
      </c>
      <c r="AO78"/>
      <c r="AP78" s="32">
        <f t="shared" si="60"/>
        <v>0</v>
      </c>
      <c r="AQ78" s="234">
        <f t="shared" si="61"/>
        <v>0</v>
      </c>
      <c r="AR78" s="32">
        <f t="shared" si="62"/>
        <v>0</v>
      </c>
      <c r="AS78" s="234">
        <f t="shared" si="63"/>
        <v>0</v>
      </c>
      <c r="AT78" s="32">
        <f t="shared" si="64"/>
        <v>0</v>
      </c>
      <c r="AU78" s="32">
        <f t="shared" si="65"/>
        <v>0</v>
      </c>
      <c r="AV78" s="32">
        <f t="shared" si="66"/>
        <v>0.5</v>
      </c>
      <c r="AW78" s="234">
        <f t="shared" si="67"/>
        <v>0.5</v>
      </c>
      <c r="AX78" s="226">
        <f t="shared" si="68"/>
        <v>0</v>
      </c>
      <c r="AY78" s="234">
        <f t="shared" si="69"/>
        <v>0</v>
      </c>
      <c r="AZ78" s="32">
        <f t="shared" si="70"/>
        <v>0</v>
      </c>
      <c r="BA78" s="234">
        <f t="shared" si="71"/>
        <v>0</v>
      </c>
      <c r="BB78" s="32">
        <f t="shared" si="72"/>
        <v>0</v>
      </c>
      <c r="BC78" s="234">
        <f t="shared" si="73"/>
        <v>0</v>
      </c>
      <c r="BD78" s="32">
        <f t="shared" si="74"/>
        <v>0</v>
      </c>
      <c r="BE78" s="234">
        <f t="shared" si="75"/>
        <v>0</v>
      </c>
      <c r="BF78" s="32">
        <f t="shared" si="76"/>
        <v>0</v>
      </c>
      <c r="BG78" s="234">
        <f t="shared" si="77"/>
        <v>0</v>
      </c>
      <c r="BH78" s="32">
        <f t="shared" si="78"/>
        <v>0</v>
      </c>
      <c r="BI78" s="32">
        <f t="shared" si="79"/>
        <v>0</v>
      </c>
      <c r="BJ78" s="234">
        <f t="shared" si="80"/>
        <v>0</v>
      </c>
      <c r="BK78" s="32">
        <f t="shared" si="81"/>
        <v>0</v>
      </c>
      <c r="BL78" s="234">
        <f t="shared" si="82"/>
        <v>0</v>
      </c>
    </row>
    <row r="79" spans="1:64" x14ac:dyDescent="0.25">
      <c r="A79" s="392" t="s">
        <v>711</v>
      </c>
      <c r="B79" s="26" t="str">
        <f>VLOOKUP(A79,kurspris!$A$1:$B$304,2,FALSE)</f>
        <v>Ämnesdidaktik i skolpraktiken, del 2</v>
      </c>
      <c r="C79" s="56"/>
      <c r="D79" s="32" t="s">
        <v>74</v>
      </c>
      <c r="E79" s="59" t="s">
        <v>929</v>
      </c>
      <c r="F79" s="59" t="s">
        <v>933</v>
      </c>
      <c r="G79" s="59" t="s">
        <v>934</v>
      </c>
      <c r="H79" s="59"/>
      <c r="K79" s="37"/>
      <c r="L79" s="32">
        <v>50</v>
      </c>
      <c r="M79" s="32">
        <v>15</v>
      </c>
      <c r="N79" s="32">
        <v>9</v>
      </c>
      <c r="O79" s="234">
        <f t="shared" si="55"/>
        <v>2.25</v>
      </c>
      <c r="P79" s="39">
        <v>1</v>
      </c>
      <c r="Q79" s="234">
        <f t="shared" si="56"/>
        <v>2.25</v>
      </c>
      <c r="R79" s="32">
        <f>VLOOKUP(A79,'Ansvar kurs'!$A$1:$C$399,2,FALSE)</f>
        <v>1650</v>
      </c>
      <c r="S79" s="32" t="str">
        <f>VLOOKUP(R79,Orgenheter!$A$1:$C$166,2,FALSE)</f>
        <v xml:space="preserve">Estetiska ämnen               </v>
      </c>
      <c r="T79" s="32" t="str">
        <f>VLOOKUP(R79,Orgenheter!$A$1:$C$166,3,FALSE)</f>
        <v>Hum</v>
      </c>
      <c r="U79" s="37" t="str">
        <f>VLOOKUP(D79,Program!$A$1:$B$34,2,FALSE)</f>
        <v>VAL-projektet</v>
      </c>
      <c r="V79" s="41">
        <f>VLOOKUP(A79,kurspris!$A$1:$Q$225,15,FALSE)</f>
        <v>24740</v>
      </c>
      <c r="W79" s="41">
        <f>VLOOKUP(A79,kurspris!$A$1:$Q$225,16,FALSE)</f>
        <v>27503</v>
      </c>
      <c r="X79" s="41">
        <f t="shared" si="57"/>
        <v>117546.75</v>
      </c>
      <c r="Y79" s="41">
        <f>VLOOKUP(A79,kurspris!$A$1:$Q$225,17,FALSE)</f>
        <v>3500</v>
      </c>
      <c r="Z79" s="41">
        <f t="shared" si="58"/>
        <v>7875</v>
      </c>
      <c r="AA79" s="41">
        <f t="shared" si="59"/>
        <v>125421.75</v>
      </c>
      <c r="AB79" s="32">
        <f>VLOOKUP($A79,kurspris!$A$1:$Q$262,3,FALSE)</f>
        <v>0</v>
      </c>
      <c r="AC79" s="32">
        <f>VLOOKUP($A79,kurspris!$A$1:$Q$262,4,FALSE)</f>
        <v>0</v>
      </c>
      <c r="AD79" s="32">
        <f>VLOOKUP($A79,kurspris!$A$1:$Q$262,5,FALSE)</f>
        <v>0</v>
      </c>
      <c r="AE79" s="32">
        <f>VLOOKUP($A79,kurspris!$A$1:$Q$262,6,FALSE)</f>
        <v>0</v>
      </c>
      <c r="AF79" s="32">
        <f>VLOOKUP($A79,kurspris!$A$1:$Q$262,7,FALSE)</f>
        <v>0</v>
      </c>
      <c r="AG79" s="32">
        <f>VLOOKUP($A79,kurspris!$A$1:$Q$262,8,FALSE)</f>
        <v>0</v>
      </c>
      <c r="AH79" s="32">
        <f>VLOOKUP($A79,kurspris!$A$1:$Q$262,9,FALSE)</f>
        <v>0</v>
      </c>
      <c r="AI79" s="32">
        <f>VLOOKUP($A79,kurspris!$A$1:$Q$262,10,FALSE)</f>
        <v>0</v>
      </c>
      <c r="AJ79" s="32">
        <f>VLOOKUP($A79,kurspris!$A$1:$Q$262,11,FALSE)</f>
        <v>1</v>
      </c>
      <c r="AK79" s="32">
        <f>VLOOKUP($A79,kurspris!$A$1:$Q$262,12,FALSE)</f>
        <v>0</v>
      </c>
      <c r="AL79" s="32">
        <f>VLOOKUP($A79,kurspris!$A$1:$Q$262,13,FALSE)</f>
        <v>0</v>
      </c>
      <c r="AM79" s="32">
        <f>VLOOKUP($A79,kurspris!$A$1:$Q$262,14,FALSE)</f>
        <v>0</v>
      </c>
      <c r="AN79" s="38" t="s">
        <v>946</v>
      </c>
      <c r="AO79"/>
      <c r="AP79" s="32">
        <f t="shared" si="60"/>
        <v>0</v>
      </c>
      <c r="AQ79" s="234">
        <f t="shared" si="61"/>
        <v>0</v>
      </c>
      <c r="AR79" s="32">
        <f t="shared" si="62"/>
        <v>0</v>
      </c>
      <c r="AS79" s="234">
        <f t="shared" si="63"/>
        <v>0</v>
      </c>
      <c r="AT79" s="32">
        <f t="shared" si="64"/>
        <v>0</v>
      </c>
      <c r="AU79" s="32">
        <f t="shared" si="65"/>
        <v>0</v>
      </c>
      <c r="AV79" s="32">
        <f t="shared" si="66"/>
        <v>0</v>
      </c>
      <c r="AW79" s="234">
        <f t="shared" si="67"/>
        <v>0</v>
      </c>
      <c r="AX79" s="226">
        <f t="shared" si="68"/>
        <v>0</v>
      </c>
      <c r="AY79" s="234">
        <f t="shared" si="69"/>
        <v>0</v>
      </c>
      <c r="AZ79" s="32">
        <f t="shared" si="70"/>
        <v>0</v>
      </c>
      <c r="BA79" s="234">
        <f t="shared" si="71"/>
        <v>0</v>
      </c>
      <c r="BB79" s="32">
        <f t="shared" si="72"/>
        <v>0</v>
      </c>
      <c r="BC79" s="234">
        <f t="shared" si="73"/>
        <v>0</v>
      </c>
      <c r="BD79" s="32">
        <f t="shared" si="74"/>
        <v>0</v>
      </c>
      <c r="BE79" s="234">
        <f t="shared" si="75"/>
        <v>0</v>
      </c>
      <c r="BF79" s="32">
        <f t="shared" si="76"/>
        <v>2.25</v>
      </c>
      <c r="BG79" s="234">
        <f t="shared" si="77"/>
        <v>2.25</v>
      </c>
      <c r="BH79" s="32">
        <f t="shared" si="78"/>
        <v>0</v>
      </c>
      <c r="BI79" s="32">
        <f t="shared" si="79"/>
        <v>0</v>
      </c>
      <c r="BJ79" s="234">
        <f t="shared" si="80"/>
        <v>0</v>
      </c>
      <c r="BK79" s="32">
        <f t="shared" si="81"/>
        <v>0</v>
      </c>
      <c r="BL79" s="234">
        <f t="shared" si="82"/>
        <v>0</v>
      </c>
    </row>
    <row r="80" spans="1:64" x14ac:dyDescent="0.25">
      <c r="A80" s="392" t="s">
        <v>711</v>
      </c>
      <c r="B80" s="26" t="str">
        <f>VLOOKUP(A80,kurspris!$A$1:$B$304,2,FALSE)</f>
        <v>Ämnesdidaktik i skolpraktiken, del 2</v>
      </c>
      <c r="C80" s="56"/>
      <c r="D80" s="32" t="s">
        <v>74</v>
      </c>
      <c r="E80" s="59" t="s">
        <v>925</v>
      </c>
      <c r="F80" s="59" t="s">
        <v>933</v>
      </c>
      <c r="G80" s="59" t="s">
        <v>934</v>
      </c>
      <c r="H80" s="59"/>
      <c r="K80" s="37"/>
      <c r="L80" s="32">
        <v>50</v>
      </c>
      <c r="M80" s="32">
        <v>15</v>
      </c>
      <c r="N80" s="32">
        <v>16</v>
      </c>
      <c r="O80" s="234">
        <f t="shared" si="55"/>
        <v>4</v>
      </c>
      <c r="P80" s="39">
        <v>1</v>
      </c>
      <c r="Q80" s="234">
        <f t="shared" si="56"/>
        <v>4</v>
      </c>
      <c r="R80" s="32">
        <f>VLOOKUP(A80,'Ansvar kurs'!$A$1:$C$399,2,FALSE)</f>
        <v>1650</v>
      </c>
      <c r="S80" s="32" t="str">
        <f>VLOOKUP(R80,Orgenheter!$A$1:$C$166,2,FALSE)</f>
        <v xml:space="preserve">Estetiska ämnen               </v>
      </c>
      <c r="T80" s="32" t="str">
        <f>VLOOKUP(R80,Orgenheter!$A$1:$C$166,3,FALSE)</f>
        <v>Hum</v>
      </c>
      <c r="U80" s="37" t="str">
        <f>VLOOKUP(D80,Program!$A$1:$B$34,2,FALSE)</f>
        <v>VAL-projektet</v>
      </c>
      <c r="V80" s="41">
        <f>VLOOKUP(A80,kurspris!$A$1:$Q$225,15,FALSE)</f>
        <v>24740</v>
      </c>
      <c r="W80" s="41">
        <f>VLOOKUP(A80,kurspris!$A$1:$Q$225,16,FALSE)</f>
        <v>27503</v>
      </c>
      <c r="X80" s="41">
        <f t="shared" si="57"/>
        <v>208972</v>
      </c>
      <c r="Y80" s="41">
        <f>VLOOKUP(A80,kurspris!$A$1:$Q$225,17,FALSE)</f>
        <v>3500</v>
      </c>
      <c r="Z80" s="41">
        <f t="shared" si="58"/>
        <v>14000</v>
      </c>
      <c r="AA80" s="41">
        <f t="shared" si="59"/>
        <v>222972</v>
      </c>
      <c r="AB80" s="32">
        <f>VLOOKUP($A80,kurspris!$A$1:$Q$262,3,FALSE)</f>
        <v>0</v>
      </c>
      <c r="AC80" s="32">
        <f>VLOOKUP($A80,kurspris!$A$1:$Q$262,4,FALSE)</f>
        <v>0</v>
      </c>
      <c r="AD80" s="32">
        <f>VLOOKUP($A80,kurspris!$A$1:$Q$262,5,FALSE)</f>
        <v>0</v>
      </c>
      <c r="AE80" s="32">
        <f>VLOOKUP($A80,kurspris!$A$1:$Q$262,6,FALSE)</f>
        <v>0</v>
      </c>
      <c r="AF80" s="32">
        <f>VLOOKUP($A80,kurspris!$A$1:$Q$262,7,FALSE)</f>
        <v>0</v>
      </c>
      <c r="AG80" s="32">
        <f>VLOOKUP($A80,kurspris!$A$1:$Q$262,8,FALSE)</f>
        <v>0</v>
      </c>
      <c r="AH80" s="32">
        <f>VLOOKUP($A80,kurspris!$A$1:$Q$262,9,FALSE)</f>
        <v>0</v>
      </c>
      <c r="AI80" s="32">
        <f>VLOOKUP($A80,kurspris!$A$1:$Q$262,10,FALSE)</f>
        <v>0</v>
      </c>
      <c r="AJ80" s="32">
        <f>VLOOKUP($A80,kurspris!$A$1:$Q$262,11,FALSE)</f>
        <v>1</v>
      </c>
      <c r="AK80" s="32">
        <f>VLOOKUP($A80,kurspris!$A$1:$Q$262,12,FALSE)</f>
        <v>0</v>
      </c>
      <c r="AL80" s="32">
        <f>VLOOKUP($A80,kurspris!$A$1:$Q$262,13,FALSE)</f>
        <v>0</v>
      </c>
      <c r="AM80" s="32">
        <f>VLOOKUP($A80,kurspris!$A$1:$Q$262,14,FALSE)</f>
        <v>0</v>
      </c>
      <c r="AN80" s="38" t="s">
        <v>946</v>
      </c>
      <c r="AO80"/>
      <c r="AP80" s="32">
        <f t="shared" si="60"/>
        <v>0</v>
      </c>
      <c r="AQ80" s="234">
        <f t="shared" si="61"/>
        <v>0</v>
      </c>
      <c r="AR80" s="32">
        <f t="shared" si="62"/>
        <v>0</v>
      </c>
      <c r="AS80" s="234">
        <f t="shared" si="63"/>
        <v>0</v>
      </c>
      <c r="AT80" s="32">
        <f t="shared" si="64"/>
        <v>0</v>
      </c>
      <c r="AU80" s="32">
        <f t="shared" si="65"/>
        <v>0</v>
      </c>
      <c r="AV80" s="32">
        <f t="shared" si="66"/>
        <v>0</v>
      </c>
      <c r="AW80" s="234">
        <f t="shared" si="67"/>
        <v>0</v>
      </c>
      <c r="AX80" s="226">
        <f t="shared" si="68"/>
        <v>0</v>
      </c>
      <c r="AY80" s="234">
        <f t="shared" si="69"/>
        <v>0</v>
      </c>
      <c r="AZ80" s="32">
        <f t="shared" si="70"/>
        <v>0</v>
      </c>
      <c r="BA80" s="234">
        <f t="shared" si="71"/>
        <v>0</v>
      </c>
      <c r="BB80" s="32">
        <f t="shared" si="72"/>
        <v>0</v>
      </c>
      <c r="BC80" s="234">
        <f t="shared" si="73"/>
        <v>0</v>
      </c>
      <c r="BD80" s="32">
        <f t="shared" si="74"/>
        <v>0</v>
      </c>
      <c r="BE80" s="234">
        <f t="shared" si="75"/>
        <v>0</v>
      </c>
      <c r="BF80" s="32">
        <f t="shared" si="76"/>
        <v>4</v>
      </c>
      <c r="BG80" s="234">
        <f t="shared" si="77"/>
        <v>4</v>
      </c>
      <c r="BH80" s="32">
        <f t="shared" si="78"/>
        <v>0</v>
      </c>
      <c r="BI80" s="32">
        <f t="shared" si="79"/>
        <v>0</v>
      </c>
      <c r="BJ80" s="234">
        <f t="shared" si="80"/>
        <v>0</v>
      </c>
      <c r="BK80" s="32">
        <f t="shared" si="81"/>
        <v>0</v>
      </c>
      <c r="BL80" s="234">
        <f t="shared" si="82"/>
        <v>0</v>
      </c>
    </row>
    <row r="81" spans="1:64" x14ac:dyDescent="0.25">
      <c r="A81" s="392" t="s">
        <v>711</v>
      </c>
      <c r="B81" s="26" t="str">
        <f>VLOOKUP(A81,kurspris!$A$1:$B$304,2,FALSE)</f>
        <v>Ämnesdidaktik i skolpraktiken, del 2</v>
      </c>
      <c r="C81" s="56"/>
      <c r="D81" s="32" t="s">
        <v>74</v>
      </c>
      <c r="E81" s="59" t="s">
        <v>927</v>
      </c>
      <c r="F81" s="59" t="s">
        <v>933</v>
      </c>
      <c r="G81" s="59" t="s">
        <v>934</v>
      </c>
      <c r="H81" s="59"/>
      <c r="K81" s="37"/>
      <c r="L81" s="32">
        <v>50</v>
      </c>
      <c r="M81" s="32">
        <v>15</v>
      </c>
      <c r="N81" s="32">
        <v>3</v>
      </c>
      <c r="O81" s="234">
        <f t="shared" si="55"/>
        <v>0.75</v>
      </c>
      <c r="P81" s="39">
        <v>1</v>
      </c>
      <c r="Q81" s="234">
        <f t="shared" si="56"/>
        <v>0.75</v>
      </c>
      <c r="R81" s="32">
        <f>VLOOKUP(A81,'Ansvar kurs'!$A$1:$C$399,2,FALSE)</f>
        <v>1650</v>
      </c>
      <c r="S81" s="32" t="str">
        <f>VLOOKUP(R81,Orgenheter!$A$1:$C$166,2,FALSE)</f>
        <v xml:space="preserve">Estetiska ämnen               </v>
      </c>
      <c r="T81" s="32" t="str">
        <f>VLOOKUP(R81,Orgenheter!$A$1:$C$166,3,FALSE)</f>
        <v>Hum</v>
      </c>
      <c r="U81" s="37" t="str">
        <f>VLOOKUP(D81,Program!$A$1:$B$34,2,FALSE)</f>
        <v>VAL-projektet</v>
      </c>
      <c r="V81" s="41">
        <f>VLOOKUP(A81,kurspris!$A$1:$Q$225,15,FALSE)</f>
        <v>24740</v>
      </c>
      <c r="W81" s="41">
        <f>VLOOKUP(A81,kurspris!$A$1:$Q$225,16,FALSE)</f>
        <v>27503</v>
      </c>
      <c r="X81" s="41">
        <f t="shared" si="57"/>
        <v>39182.25</v>
      </c>
      <c r="Y81" s="41">
        <f>VLOOKUP(A81,kurspris!$A$1:$Q$225,17,FALSE)</f>
        <v>3500</v>
      </c>
      <c r="Z81" s="41">
        <f t="shared" si="58"/>
        <v>2625</v>
      </c>
      <c r="AA81" s="41">
        <f t="shared" si="59"/>
        <v>41807.25</v>
      </c>
      <c r="AB81" s="32">
        <f>VLOOKUP($A81,kurspris!$A$1:$Q$262,3,FALSE)</f>
        <v>0</v>
      </c>
      <c r="AC81" s="32">
        <f>VLOOKUP($A81,kurspris!$A$1:$Q$262,4,FALSE)</f>
        <v>0</v>
      </c>
      <c r="AD81" s="32">
        <f>VLOOKUP($A81,kurspris!$A$1:$Q$262,5,FALSE)</f>
        <v>0</v>
      </c>
      <c r="AE81" s="32">
        <f>VLOOKUP($A81,kurspris!$A$1:$Q$262,6,FALSE)</f>
        <v>0</v>
      </c>
      <c r="AF81" s="32">
        <f>VLOOKUP($A81,kurspris!$A$1:$Q$262,7,FALSE)</f>
        <v>0</v>
      </c>
      <c r="AG81" s="32">
        <f>VLOOKUP($A81,kurspris!$A$1:$Q$262,8,FALSE)</f>
        <v>0</v>
      </c>
      <c r="AH81" s="32">
        <f>VLOOKUP($A81,kurspris!$A$1:$Q$262,9,FALSE)</f>
        <v>0</v>
      </c>
      <c r="AI81" s="32">
        <f>VLOOKUP($A81,kurspris!$A$1:$Q$262,10,FALSE)</f>
        <v>0</v>
      </c>
      <c r="AJ81" s="32">
        <f>VLOOKUP($A81,kurspris!$A$1:$Q$262,11,FALSE)</f>
        <v>1</v>
      </c>
      <c r="AK81" s="32">
        <f>VLOOKUP($A81,kurspris!$A$1:$Q$262,12,FALSE)</f>
        <v>0</v>
      </c>
      <c r="AL81" s="32">
        <f>VLOOKUP($A81,kurspris!$A$1:$Q$262,13,FALSE)</f>
        <v>0</v>
      </c>
      <c r="AM81" s="32">
        <f>VLOOKUP($A81,kurspris!$A$1:$Q$262,14,FALSE)</f>
        <v>0</v>
      </c>
      <c r="AN81" s="38" t="s">
        <v>946</v>
      </c>
      <c r="AO81"/>
      <c r="AP81" s="32">
        <f t="shared" si="60"/>
        <v>0</v>
      </c>
      <c r="AQ81" s="234">
        <f t="shared" si="61"/>
        <v>0</v>
      </c>
      <c r="AR81" s="32">
        <f t="shared" si="62"/>
        <v>0</v>
      </c>
      <c r="AS81" s="234">
        <f t="shared" si="63"/>
        <v>0</v>
      </c>
      <c r="AT81" s="32">
        <f t="shared" si="64"/>
        <v>0</v>
      </c>
      <c r="AU81" s="32">
        <f t="shared" si="65"/>
        <v>0</v>
      </c>
      <c r="AV81" s="32">
        <f t="shared" si="66"/>
        <v>0</v>
      </c>
      <c r="AW81" s="234">
        <f t="shared" si="67"/>
        <v>0</v>
      </c>
      <c r="AX81" s="226">
        <f t="shared" si="68"/>
        <v>0</v>
      </c>
      <c r="AY81" s="234">
        <f t="shared" si="69"/>
        <v>0</v>
      </c>
      <c r="AZ81" s="32">
        <f t="shared" si="70"/>
        <v>0</v>
      </c>
      <c r="BA81" s="234">
        <f t="shared" si="71"/>
        <v>0</v>
      </c>
      <c r="BB81" s="32">
        <f t="shared" si="72"/>
        <v>0</v>
      </c>
      <c r="BC81" s="234">
        <f t="shared" si="73"/>
        <v>0</v>
      </c>
      <c r="BD81" s="32">
        <f t="shared" si="74"/>
        <v>0</v>
      </c>
      <c r="BE81" s="234">
        <f t="shared" si="75"/>
        <v>0</v>
      </c>
      <c r="BF81" s="32">
        <f t="shared" si="76"/>
        <v>0.75</v>
      </c>
      <c r="BG81" s="234">
        <f t="shared" si="77"/>
        <v>0.75</v>
      </c>
      <c r="BH81" s="32">
        <f t="shared" si="78"/>
        <v>0</v>
      </c>
      <c r="BI81" s="32">
        <f t="shared" si="79"/>
        <v>0</v>
      </c>
      <c r="BJ81" s="234">
        <f t="shared" si="80"/>
        <v>0</v>
      </c>
      <c r="BK81" s="32">
        <f t="shared" si="81"/>
        <v>0</v>
      </c>
      <c r="BL81" s="234">
        <f t="shared" si="82"/>
        <v>0</v>
      </c>
    </row>
    <row r="82" spans="1:64" x14ac:dyDescent="0.25">
      <c r="A82" s="392" t="s">
        <v>677</v>
      </c>
      <c r="B82" s="26" t="str">
        <f>VLOOKUP(A82,kurspris!$A$1:$B$304,2,FALSE)</f>
        <v>Bild 1 distans</v>
      </c>
      <c r="C82" s="56"/>
      <c r="D82" s="32" t="s">
        <v>74</v>
      </c>
      <c r="E82" s="59" t="s">
        <v>925</v>
      </c>
      <c r="F82" s="59" t="s">
        <v>933</v>
      </c>
      <c r="G82" s="59" t="s">
        <v>935</v>
      </c>
      <c r="H82" s="59"/>
      <c r="K82" s="37"/>
      <c r="L82" s="32">
        <v>50</v>
      </c>
      <c r="M82" s="418">
        <v>15</v>
      </c>
      <c r="N82" s="32">
        <v>1</v>
      </c>
      <c r="O82" s="234">
        <f t="shared" si="55"/>
        <v>0.25</v>
      </c>
      <c r="P82" s="39">
        <v>1</v>
      </c>
      <c r="Q82" s="234">
        <f t="shared" si="56"/>
        <v>0.25</v>
      </c>
      <c r="R82" s="32">
        <f>VLOOKUP(A82,'Ansvar kurs'!$A$1:$C$399,2,FALSE)</f>
        <v>1650</v>
      </c>
      <c r="S82" s="32" t="str">
        <f>VLOOKUP(R82,Orgenheter!$A$1:$C$166,2,FALSE)</f>
        <v xml:space="preserve">Estetiska ämnen               </v>
      </c>
      <c r="T82" s="32" t="str">
        <f>VLOOKUP(R82,Orgenheter!$A$1:$C$166,3,FALSE)</f>
        <v>Hum</v>
      </c>
      <c r="U82" s="37" t="str">
        <f>VLOOKUP(D82,Program!$A$1:$B$34,2,FALSE)</f>
        <v>VAL-projektet</v>
      </c>
      <c r="V82" s="41">
        <f>VLOOKUP(A82,kurspris!$A$1:$Q$225,15,FALSE)</f>
        <v>48895</v>
      </c>
      <c r="W82" s="41">
        <f>VLOOKUP(A82,kurspris!$A$1:$Q$225,16,FALSE)</f>
        <v>58097</v>
      </c>
      <c r="X82" s="41">
        <f t="shared" si="57"/>
        <v>26748</v>
      </c>
      <c r="Y82" s="41">
        <f>VLOOKUP(A82,kurspris!$A$1:$Q$225,17,FALSE)</f>
        <v>70300</v>
      </c>
      <c r="Z82" s="41">
        <f t="shared" si="58"/>
        <v>17575</v>
      </c>
      <c r="AA82" s="41">
        <f t="shared" si="59"/>
        <v>44323</v>
      </c>
      <c r="AB82" s="32">
        <f>VLOOKUP($A82,kurspris!$A$1:$Q$262,3,FALSE)</f>
        <v>1</v>
      </c>
      <c r="AC82" s="32">
        <f>VLOOKUP($A82,kurspris!$A$1:$Q$262,4,FALSE)</f>
        <v>0</v>
      </c>
      <c r="AD82" s="32">
        <f>VLOOKUP($A82,kurspris!$A$1:$Q$262,5,FALSE)</f>
        <v>0</v>
      </c>
      <c r="AE82" s="32">
        <f>VLOOKUP($A82,kurspris!$A$1:$Q$262,6,FALSE)</f>
        <v>0</v>
      </c>
      <c r="AF82" s="32">
        <f>VLOOKUP($A82,kurspris!$A$1:$Q$262,7,FALSE)</f>
        <v>0</v>
      </c>
      <c r="AG82" s="32">
        <f>VLOOKUP($A82,kurspris!$A$1:$Q$262,8,FALSE)</f>
        <v>0</v>
      </c>
      <c r="AH82" s="32">
        <f>VLOOKUP($A82,kurspris!$A$1:$Q$262,9,FALSE)</f>
        <v>0</v>
      </c>
      <c r="AI82" s="32">
        <f>VLOOKUP($A82,kurspris!$A$1:$Q$262,10,FALSE)</f>
        <v>0</v>
      </c>
      <c r="AJ82" s="32">
        <f>VLOOKUP($A82,kurspris!$A$1:$Q$262,11,FALSE)</f>
        <v>0</v>
      </c>
      <c r="AK82" s="32">
        <f>VLOOKUP($A82,kurspris!$A$1:$Q$262,12,FALSE)</f>
        <v>0</v>
      </c>
      <c r="AL82" s="32">
        <f>VLOOKUP($A82,kurspris!$A$1:$Q$262,13,FALSE)</f>
        <v>0</v>
      </c>
      <c r="AM82" s="32">
        <f>VLOOKUP($A82,kurspris!$A$1:$Q$262,14,FALSE)</f>
        <v>0</v>
      </c>
      <c r="AN82" s="38" t="s">
        <v>946</v>
      </c>
      <c r="AO82" t="s">
        <v>947</v>
      </c>
      <c r="AP82" s="32">
        <f t="shared" si="60"/>
        <v>0.25</v>
      </c>
      <c r="AQ82" s="234">
        <f t="shared" si="61"/>
        <v>0.25</v>
      </c>
      <c r="AR82" s="32">
        <f t="shared" si="62"/>
        <v>0</v>
      </c>
      <c r="AS82" s="234">
        <f t="shared" si="63"/>
        <v>0</v>
      </c>
      <c r="AT82" s="32">
        <f t="shared" si="64"/>
        <v>0</v>
      </c>
      <c r="AU82" s="32">
        <f t="shared" si="65"/>
        <v>0</v>
      </c>
      <c r="AV82" s="32">
        <f t="shared" si="66"/>
        <v>0</v>
      </c>
      <c r="AW82" s="234">
        <f t="shared" si="67"/>
        <v>0</v>
      </c>
      <c r="AX82" s="226">
        <f t="shared" si="68"/>
        <v>0</v>
      </c>
      <c r="AY82" s="234">
        <f t="shared" si="69"/>
        <v>0</v>
      </c>
      <c r="AZ82" s="32">
        <f t="shared" si="70"/>
        <v>0</v>
      </c>
      <c r="BA82" s="234">
        <f t="shared" si="71"/>
        <v>0</v>
      </c>
      <c r="BB82" s="32">
        <f t="shared" si="72"/>
        <v>0</v>
      </c>
      <c r="BC82" s="234">
        <f t="shared" si="73"/>
        <v>0</v>
      </c>
      <c r="BD82" s="32">
        <f t="shared" si="74"/>
        <v>0</v>
      </c>
      <c r="BE82" s="234">
        <f t="shared" si="75"/>
        <v>0</v>
      </c>
      <c r="BF82" s="32">
        <f t="shared" si="76"/>
        <v>0</v>
      </c>
      <c r="BG82" s="234">
        <f t="shared" si="77"/>
        <v>0</v>
      </c>
      <c r="BH82" s="32">
        <f t="shared" si="78"/>
        <v>0</v>
      </c>
      <c r="BI82" s="32">
        <f t="shared" si="79"/>
        <v>0</v>
      </c>
      <c r="BJ82" s="234">
        <f t="shared" si="80"/>
        <v>0</v>
      </c>
      <c r="BK82" s="32">
        <f t="shared" si="81"/>
        <v>0</v>
      </c>
      <c r="BL82" s="234">
        <f t="shared" si="82"/>
        <v>0</v>
      </c>
    </row>
    <row r="83" spans="1:64" x14ac:dyDescent="0.25">
      <c r="A83" s="392" t="s">
        <v>677</v>
      </c>
      <c r="B83" s="26" t="str">
        <f>VLOOKUP(A83,kurspris!$A$1:$B$304,2,FALSE)</f>
        <v>Bild 1 distans</v>
      </c>
      <c r="C83" s="56"/>
      <c r="D83" s="32" t="s">
        <v>74</v>
      </c>
      <c r="E83" s="59" t="s">
        <v>927</v>
      </c>
      <c r="F83" s="59" t="s">
        <v>933</v>
      </c>
      <c r="G83" s="59" t="s">
        <v>935</v>
      </c>
      <c r="H83" s="59"/>
      <c r="K83" s="37"/>
      <c r="L83" s="32">
        <v>50</v>
      </c>
      <c r="M83" s="418">
        <v>15</v>
      </c>
      <c r="N83" s="32">
        <v>1</v>
      </c>
      <c r="O83" s="234">
        <f t="shared" si="55"/>
        <v>0.25</v>
      </c>
      <c r="P83" s="39">
        <v>1</v>
      </c>
      <c r="Q83" s="234">
        <f t="shared" si="56"/>
        <v>0.25</v>
      </c>
      <c r="R83" s="32">
        <f>VLOOKUP(A83,'Ansvar kurs'!$A$1:$C$399,2,FALSE)</f>
        <v>1650</v>
      </c>
      <c r="S83" s="32" t="str">
        <f>VLOOKUP(R83,Orgenheter!$A$1:$C$166,2,FALSE)</f>
        <v xml:space="preserve">Estetiska ämnen               </v>
      </c>
      <c r="T83" s="32" t="str">
        <f>VLOOKUP(R83,Orgenheter!$A$1:$C$166,3,FALSE)</f>
        <v>Hum</v>
      </c>
      <c r="U83" s="37" t="str">
        <f>VLOOKUP(D83,Program!$A$1:$B$34,2,FALSE)</f>
        <v>VAL-projektet</v>
      </c>
      <c r="V83" s="41">
        <f>VLOOKUP(A83,kurspris!$A$1:$Q$225,15,FALSE)</f>
        <v>48895</v>
      </c>
      <c r="W83" s="41">
        <f>VLOOKUP(A83,kurspris!$A$1:$Q$225,16,FALSE)</f>
        <v>58097</v>
      </c>
      <c r="X83" s="41">
        <f t="shared" si="57"/>
        <v>26748</v>
      </c>
      <c r="Y83" s="41">
        <f>VLOOKUP(A83,kurspris!$A$1:$Q$225,17,FALSE)</f>
        <v>70300</v>
      </c>
      <c r="Z83" s="41">
        <f t="shared" si="58"/>
        <v>17575</v>
      </c>
      <c r="AA83" s="41">
        <f t="shared" si="59"/>
        <v>44323</v>
      </c>
      <c r="AB83" s="32">
        <f>VLOOKUP($A83,kurspris!$A$1:$Q$262,3,FALSE)</f>
        <v>1</v>
      </c>
      <c r="AC83" s="32">
        <f>VLOOKUP($A83,kurspris!$A$1:$Q$262,4,FALSE)</f>
        <v>0</v>
      </c>
      <c r="AD83" s="32">
        <f>VLOOKUP($A83,kurspris!$A$1:$Q$262,5,FALSE)</f>
        <v>0</v>
      </c>
      <c r="AE83" s="32">
        <f>VLOOKUP($A83,kurspris!$A$1:$Q$262,6,FALSE)</f>
        <v>0</v>
      </c>
      <c r="AF83" s="32">
        <f>VLOOKUP($A83,kurspris!$A$1:$Q$262,7,FALSE)</f>
        <v>0</v>
      </c>
      <c r="AG83" s="32">
        <f>VLOOKUP($A83,kurspris!$A$1:$Q$262,8,FALSE)</f>
        <v>0</v>
      </c>
      <c r="AH83" s="32">
        <f>VLOOKUP($A83,kurspris!$A$1:$Q$262,9,FALSE)</f>
        <v>0</v>
      </c>
      <c r="AI83" s="32">
        <f>VLOOKUP($A83,kurspris!$A$1:$Q$262,10,FALSE)</f>
        <v>0</v>
      </c>
      <c r="AJ83" s="32">
        <f>VLOOKUP($A83,kurspris!$A$1:$Q$262,11,FALSE)</f>
        <v>0</v>
      </c>
      <c r="AK83" s="32">
        <f>VLOOKUP($A83,kurspris!$A$1:$Q$262,12,FALSE)</f>
        <v>0</v>
      </c>
      <c r="AL83" s="32">
        <f>VLOOKUP($A83,kurspris!$A$1:$Q$262,13,FALSE)</f>
        <v>0</v>
      </c>
      <c r="AM83" s="32">
        <f>VLOOKUP($A83,kurspris!$A$1:$Q$262,14,FALSE)</f>
        <v>0</v>
      </c>
      <c r="AN83" s="38" t="s">
        <v>946</v>
      </c>
      <c r="AO83" t="s">
        <v>947</v>
      </c>
      <c r="AP83" s="32">
        <f t="shared" si="60"/>
        <v>0.25</v>
      </c>
      <c r="AQ83" s="234">
        <f t="shared" si="61"/>
        <v>0.25</v>
      </c>
      <c r="AR83" s="32">
        <f t="shared" si="62"/>
        <v>0</v>
      </c>
      <c r="AS83" s="234">
        <f t="shared" si="63"/>
        <v>0</v>
      </c>
      <c r="AT83" s="32">
        <f t="shared" si="64"/>
        <v>0</v>
      </c>
      <c r="AU83" s="32">
        <f t="shared" si="65"/>
        <v>0</v>
      </c>
      <c r="AV83" s="32">
        <f t="shared" si="66"/>
        <v>0</v>
      </c>
      <c r="AW83" s="234">
        <f t="shared" si="67"/>
        <v>0</v>
      </c>
      <c r="AX83" s="226">
        <f t="shared" si="68"/>
        <v>0</v>
      </c>
      <c r="AY83" s="234">
        <f t="shared" si="69"/>
        <v>0</v>
      </c>
      <c r="AZ83" s="32">
        <f t="shared" si="70"/>
        <v>0</v>
      </c>
      <c r="BA83" s="234">
        <f t="shared" si="71"/>
        <v>0</v>
      </c>
      <c r="BB83" s="32">
        <f t="shared" si="72"/>
        <v>0</v>
      </c>
      <c r="BC83" s="234">
        <f t="shared" si="73"/>
        <v>0</v>
      </c>
      <c r="BD83" s="32">
        <f t="shared" si="74"/>
        <v>0</v>
      </c>
      <c r="BE83" s="234">
        <f t="shared" si="75"/>
        <v>0</v>
      </c>
      <c r="BF83" s="32">
        <f t="shared" si="76"/>
        <v>0</v>
      </c>
      <c r="BG83" s="234">
        <f t="shared" si="77"/>
        <v>0</v>
      </c>
      <c r="BH83" s="32">
        <f t="shared" si="78"/>
        <v>0</v>
      </c>
      <c r="BI83" s="32">
        <f t="shared" si="79"/>
        <v>0</v>
      </c>
      <c r="BJ83" s="234">
        <f t="shared" si="80"/>
        <v>0</v>
      </c>
      <c r="BK83" s="32">
        <f t="shared" si="81"/>
        <v>0</v>
      </c>
      <c r="BL83" s="234">
        <f t="shared" si="82"/>
        <v>0</v>
      </c>
    </row>
    <row r="84" spans="1:64" x14ac:dyDescent="0.25">
      <c r="A84" s="221" t="s">
        <v>765</v>
      </c>
      <c r="B84" s="26" t="str">
        <f>VLOOKUP(A84,kurspris!$A$1:$B$304,2,FALSE)</f>
        <v>Bild 2a, distans</v>
      </c>
      <c r="C84" s="56"/>
      <c r="D84" s="32" t="s">
        <v>74</v>
      </c>
      <c r="E84" s="59" t="s">
        <v>925</v>
      </c>
      <c r="F84" s="59" t="s">
        <v>933</v>
      </c>
      <c r="G84" s="59" t="s">
        <v>934</v>
      </c>
      <c r="H84" s="59"/>
      <c r="K84" s="37"/>
      <c r="L84" s="32">
        <v>50</v>
      </c>
      <c r="M84" s="32">
        <v>15</v>
      </c>
      <c r="N84" s="32">
        <v>3</v>
      </c>
      <c r="O84" s="234">
        <f t="shared" si="55"/>
        <v>0.75</v>
      </c>
      <c r="P84" s="39">
        <v>1</v>
      </c>
      <c r="Q84" s="234">
        <f t="shared" si="56"/>
        <v>0.75</v>
      </c>
      <c r="R84" s="32">
        <f>VLOOKUP(A84,'Ansvar kurs'!$A$1:$C$399,2,FALSE)</f>
        <v>1650</v>
      </c>
      <c r="S84" s="32" t="str">
        <f>VLOOKUP(R84,Orgenheter!$A$1:$C$166,2,FALSE)</f>
        <v xml:space="preserve">Estetiska ämnen               </v>
      </c>
      <c r="T84" s="32" t="str">
        <f>VLOOKUP(R84,Orgenheter!$A$1:$C$166,3,FALSE)</f>
        <v>Hum</v>
      </c>
      <c r="U84" s="37" t="str">
        <f>VLOOKUP(D84,Program!$A$1:$B$34,2,FALSE)</f>
        <v>VAL-projektet</v>
      </c>
      <c r="V84" s="41">
        <f>VLOOKUP(A84,kurspris!$A$1:$Q$225,15,FALSE)</f>
        <v>48895</v>
      </c>
      <c r="W84" s="41">
        <f>VLOOKUP(A84,kurspris!$A$1:$Q$225,16,FALSE)</f>
        <v>58097</v>
      </c>
      <c r="X84" s="41">
        <f t="shared" si="57"/>
        <v>80244</v>
      </c>
      <c r="Y84" s="41">
        <f>VLOOKUP(A84,kurspris!$A$1:$Q$225,17,FALSE)</f>
        <v>70300</v>
      </c>
      <c r="Z84" s="41">
        <f t="shared" si="58"/>
        <v>52725</v>
      </c>
      <c r="AA84" s="41">
        <f t="shared" si="59"/>
        <v>132969</v>
      </c>
      <c r="AB84" s="32">
        <f>VLOOKUP($A84,kurspris!$A$1:$Q$262,3,FALSE)</f>
        <v>1</v>
      </c>
      <c r="AC84" s="32">
        <f>VLOOKUP($A84,kurspris!$A$1:$Q$262,4,FALSE)</f>
        <v>0</v>
      </c>
      <c r="AD84" s="32">
        <f>VLOOKUP($A84,kurspris!$A$1:$Q$262,5,FALSE)</f>
        <v>0</v>
      </c>
      <c r="AE84" s="32">
        <f>VLOOKUP($A84,kurspris!$A$1:$Q$262,6,FALSE)</f>
        <v>0</v>
      </c>
      <c r="AF84" s="32">
        <f>VLOOKUP($A84,kurspris!$A$1:$Q$262,7,FALSE)</f>
        <v>0</v>
      </c>
      <c r="AG84" s="32">
        <f>VLOOKUP($A84,kurspris!$A$1:$Q$262,8,FALSE)</f>
        <v>0</v>
      </c>
      <c r="AH84" s="32">
        <f>VLOOKUP($A84,kurspris!$A$1:$Q$262,9,FALSE)</f>
        <v>0</v>
      </c>
      <c r="AI84" s="32">
        <f>VLOOKUP($A84,kurspris!$A$1:$Q$262,10,FALSE)</f>
        <v>0</v>
      </c>
      <c r="AJ84" s="32">
        <f>VLOOKUP($A84,kurspris!$A$1:$Q$262,11,FALSE)</f>
        <v>0</v>
      </c>
      <c r="AK84" s="32">
        <f>VLOOKUP($A84,kurspris!$A$1:$Q$262,12,FALSE)</f>
        <v>0</v>
      </c>
      <c r="AL84" s="32">
        <f>VLOOKUP($A84,kurspris!$A$1:$Q$262,13,FALSE)</f>
        <v>0</v>
      </c>
      <c r="AM84" s="32">
        <f>VLOOKUP($A84,kurspris!$A$1:$Q$262,14,FALSE)</f>
        <v>0</v>
      </c>
      <c r="AN84" s="38" t="s">
        <v>946</v>
      </c>
      <c r="AP84" s="32">
        <f t="shared" si="60"/>
        <v>0.75</v>
      </c>
      <c r="AQ84" s="234">
        <f t="shared" si="61"/>
        <v>0.75</v>
      </c>
      <c r="AR84" s="32">
        <f t="shared" si="62"/>
        <v>0</v>
      </c>
      <c r="AS84" s="234">
        <f t="shared" si="63"/>
        <v>0</v>
      </c>
      <c r="AT84" s="32">
        <f t="shared" si="64"/>
        <v>0</v>
      </c>
      <c r="AU84" s="32">
        <f t="shared" si="65"/>
        <v>0</v>
      </c>
      <c r="AV84" s="32">
        <f t="shared" si="66"/>
        <v>0</v>
      </c>
      <c r="AW84" s="234">
        <f t="shared" si="67"/>
        <v>0</v>
      </c>
      <c r="AX84" s="226">
        <f t="shared" si="68"/>
        <v>0</v>
      </c>
      <c r="AY84" s="234">
        <f t="shared" si="69"/>
        <v>0</v>
      </c>
      <c r="AZ84" s="32">
        <f t="shared" si="70"/>
        <v>0</v>
      </c>
      <c r="BA84" s="234">
        <f t="shared" si="71"/>
        <v>0</v>
      </c>
      <c r="BB84" s="32">
        <f t="shared" si="72"/>
        <v>0</v>
      </c>
      <c r="BC84" s="234">
        <f t="shared" si="73"/>
        <v>0</v>
      </c>
      <c r="BD84" s="32">
        <f t="shared" si="74"/>
        <v>0</v>
      </c>
      <c r="BE84" s="234">
        <f t="shared" si="75"/>
        <v>0</v>
      </c>
      <c r="BF84" s="32">
        <f t="shared" si="76"/>
        <v>0</v>
      </c>
      <c r="BG84" s="234">
        <f t="shared" si="77"/>
        <v>0</v>
      </c>
      <c r="BH84" s="32">
        <f t="shared" si="78"/>
        <v>0</v>
      </c>
      <c r="BI84" s="32">
        <f t="shared" si="79"/>
        <v>0</v>
      </c>
      <c r="BJ84" s="234">
        <f t="shared" si="80"/>
        <v>0</v>
      </c>
      <c r="BK84" s="32">
        <f t="shared" si="81"/>
        <v>0</v>
      </c>
      <c r="BL84" s="234">
        <f t="shared" si="82"/>
        <v>0</v>
      </c>
    </row>
    <row r="85" spans="1:64" x14ac:dyDescent="0.25">
      <c r="A85" s="221" t="s">
        <v>765</v>
      </c>
      <c r="B85" s="26" t="str">
        <f>VLOOKUP(A85,kurspris!$A$1:$B$304,2,FALSE)</f>
        <v>Bild 2a, distans</v>
      </c>
      <c r="C85" s="56"/>
      <c r="D85" s="32" t="s">
        <v>74</v>
      </c>
      <c r="E85" s="59" t="s">
        <v>927</v>
      </c>
      <c r="F85" s="59" t="s">
        <v>933</v>
      </c>
      <c r="G85" s="59" t="s">
        <v>934</v>
      </c>
      <c r="H85" s="59"/>
      <c r="K85" s="37"/>
      <c r="L85" s="32">
        <v>50</v>
      </c>
      <c r="M85" s="32">
        <v>15</v>
      </c>
      <c r="N85" s="32">
        <v>1</v>
      </c>
      <c r="O85" s="234">
        <f t="shared" si="55"/>
        <v>0.25</v>
      </c>
      <c r="P85" s="39">
        <v>1</v>
      </c>
      <c r="Q85" s="234">
        <f t="shared" si="56"/>
        <v>0.25</v>
      </c>
      <c r="R85" s="32">
        <f>VLOOKUP(A85,'Ansvar kurs'!$A$1:$C$399,2,FALSE)</f>
        <v>1650</v>
      </c>
      <c r="S85" s="32" t="str">
        <f>VLOOKUP(R85,Orgenheter!$A$1:$C$166,2,FALSE)</f>
        <v xml:space="preserve">Estetiska ämnen               </v>
      </c>
      <c r="T85" s="32" t="str">
        <f>VLOOKUP(R85,Orgenheter!$A$1:$C$166,3,FALSE)</f>
        <v>Hum</v>
      </c>
      <c r="U85" s="37" t="str">
        <f>VLOOKUP(D85,Program!$A$1:$B$34,2,FALSE)</f>
        <v>VAL-projektet</v>
      </c>
      <c r="V85" s="41">
        <f>VLOOKUP(A85,kurspris!$A$1:$Q$225,15,FALSE)</f>
        <v>48895</v>
      </c>
      <c r="W85" s="41">
        <f>VLOOKUP(A85,kurspris!$A$1:$Q$225,16,FALSE)</f>
        <v>58097</v>
      </c>
      <c r="X85" s="41">
        <f t="shared" si="57"/>
        <v>26748</v>
      </c>
      <c r="Y85" s="41">
        <f>VLOOKUP(A85,kurspris!$A$1:$Q$225,17,FALSE)</f>
        <v>70300</v>
      </c>
      <c r="Z85" s="41">
        <f t="shared" si="58"/>
        <v>17575</v>
      </c>
      <c r="AA85" s="41">
        <f t="shared" si="59"/>
        <v>44323</v>
      </c>
      <c r="AB85" s="32">
        <f>VLOOKUP($A85,kurspris!$A$1:$Q$262,3,FALSE)</f>
        <v>1</v>
      </c>
      <c r="AC85" s="32">
        <f>VLOOKUP($A85,kurspris!$A$1:$Q$262,4,FALSE)</f>
        <v>0</v>
      </c>
      <c r="AD85" s="32">
        <f>VLOOKUP($A85,kurspris!$A$1:$Q$262,5,FALSE)</f>
        <v>0</v>
      </c>
      <c r="AE85" s="32">
        <f>VLOOKUP($A85,kurspris!$A$1:$Q$262,6,FALSE)</f>
        <v>0</v>
      </c>
      <c r="AF85" s="32">
        <f>VLOOKUP($A85,kurspris!$A$1:$Q$262,7,FALSE)</f>
        <v>0</v>
      </c>
      <c r="AG85" s="32">
        <f>VLOOKUP($A85,kurspris!$A$1:$Q$262,8,FALSE)</f>
        <v>0</v>
      </c>
      <c r="AH85" s="32">
        <f>VLOOKUP($A85,kurspris!$A$1:$Q$262,9,FALSE)</f>
        <v>0</v>
      </c>
      <c r="AI85" s="32">
        <f>VLOOKUP($A85,kurspris!$A$1:$Q$262,10,FALSE)</f>
        <v>0</v>
      </c>
      <c r="AJ85" s="32">
        <f>VLOOKUP($A85,kurspris!$A$1:$Q$262,11,FALSE)</f>
        <v>0</v>
      </c>
      <c r="AK85" s="32">
        <f>VLOOKUP($A85,kurspris!$A$1:$Q$262,12,FALSE)</f>
        <v>0</v>
      </c>
      <c r="AL85" s="32">
        <f>VLOOKUP($A85,kurspris!$A$1:$Q$262,13,FALSE)</f>
        <v>0</v>
      </c>
      <c r="AM85" s="32">
        <f>VLOOKUP($A85,kurspris!$A$1:$Q$262,14,FALSE)</f>
        <v>0</v>
      </c>
      <c r="AN85" s="38" t="s">
        <v>946</v>
      </c>
      <c r="AP85" s="32">
        <f t="shared" si="60"/>
        <v>0.25</v>
      </c>
      <c r="AQ85" s="234">
        <f t="shared" si="61"/>
        <v>0.25</v>
      </c>
      <c r="AR85" s="32">
        <f t="shared" si="62"/>
        <v>0</v>
      </c>
      <c r="AS85" s="234">
        <f t="shared" si="63"/>
        <v>0</v>
      </c>
      <c r="AT85" s="32">
        <f t="shared" si="64"/>
        <v>0</v>
      </c>
      <c r="AU85" s="32">
        <f t="shared" si="65"/>
        <v>0</v>
      </c>
      <c r="AV85" s="32">
        <f t="shared" si="66"/>
        <v>0</v>
      </c>
      <c r="AW85" s="234">
        <f t="shared" si="67"/>
        <v>0</v>
      </c>
      <c r="AX85" s="226">
        <f t="shared" si="68"/>
        <v>0</v>
      </c>
      <c r="AY85" s="234">
        <f t="shared" si="69"/>
        <v>0</v>
      </c>
      <c r="AZ85" s="32">
        <f t="shared" si="70"/>
        <v>0</v>
      </c>
      <c r="BA85" s="234">
        <f t="shared" si="71"/>
        <v>0</v>
      </c>
      <c r="BB85" s="32">
        <f t="shared" si="72"/>
        <v>0</v>
      </c>
      <c r="BC85" s="234">
        <f t="shared" si="73"/>
        <v>0</v>
      </c>
      <c r="BD85" s="32">
        <f t="shared" si="74"/>
        <v>0</v>
      </c>
      <c r="BE85" s="234">
        <f t="shared" si="75"/>
        <v>0</v>
      </c>
      <c r="BF85" s="32">
        <f t="shared" si="76"/>
        <v>0</v>
      </c>
      <c r="BG85" s="234">
        <f t="shared" si="77"/>
        <v>0</v>
      </c>
      <c r="BH85" s="32">
        <f t="shared" si="78"/>
        <v>0</v>
      </c>
      <c r="BI85" s="32">
        <f t="shared" si="79"/>
        <v>0</v>
      </c>
      <c r="BJ85" s="234">
        <f t="shared" si="80"/>
        <v>0</v>
      </c>
      <c r="BK85" s="32">
        <f t="shared" si="81"/>
        <v>0</v>
      </c>
      <c r="BL85" s="234">
        <f t="shared" si="82"/>
        <v>0</v>
      </c>
    </row>
    <row r="86" spans="1:64" x14ac:dyDescent="0.25">
      <c r="A86" s="221" t="s">
        <v>833</v>
      </c>
      <c r="B86" s="26" t="str">
        <f>VLOOKUP(A86,kurspris!$A$1:$B$304,2,FALSE)</f>
        <v>Skapande bild, distans</v>
      </c>
      <c r="C86" s="56"/>
      <c r="D86" s="32" t="s">
        <v>74</v>
      </c>
      <c r="E86" s="59" t="s">
        <v>925</v>
      </c>
      <c r="F86" s="59" t="s">
        <v>933</v>
      </c>
      <c r="G86" s="59" t="s">
        <v>935</v>
      </c>
      <c r="H86" s="59"/>
      <c r="K86" s="37"/>
      <c r="L86" s="32">
        <v>50</v>
      </c>
      <c r="M86" s="418">
        <v>15</v>
      </c>
      <c r="N86" s="32">
        <v>3</v>
      </c>
      <c r="O86" s="234">
        <f t="shared" si="55"/>
        <v>0.75</v>
      </c>
      <c r="P86" s="39">
        <v>1</v>
      </c>
      <c r="Q86" s="234">
        <f t="shared" si="56"/>
        <v>0.75</v>
      </c>
      <c r="R86" s="32">
        <f>VLOOKUP(A86,'Ansvar kurs'!$A$1:$C$399,2,FALSE)</f>
        <v>1650</v>
      </c>
      <c r="S86" s="32" t="str">
        <f>VLOOKUP(R86,Orgenheter!$A$1:$C$166,2,FALSE)</f>
        <v xml:space="preserve">Estetiska ämnen               </v>
      </c>
      <c r="T86" s="32" t="str">
        <f>VLOOKUP(R86,Orgenheter!$A$1:$C$166,3,FALSE)</f>
        <v>Hum</v>
      </c>
      <c r="U86" s="37" t="str">
        <f>VLOOKUP(D86,Program!$A$1:$B$34,2,FALSE)</f>
        <v>VAL-projektet</v>
      </c>
      <c r="V86" s="41">
        <f>VLOOKUP(A86,kurspris!$A$1:$Q$225,15,FALSE)</f>
        <v>41445.5</v>
      </c>
      <c r="W86" s="41">
        <f>VLOOKUP(A86,kurspris!$A$1:$Q$225,16,FALSE)</f>
        <v>47591.5</v>
      </c>
      <c r="X86" s="41">
        <f t="shared" si="57"/>
        <v>66777.75</v>
      </c>
      <c r="Y86" s="41">
        <f>VLOOKUP(A86,kurspris!$A$1:$Q$225,17,FALSE)</f>
        <v>54200</v>
      </c>
      <c r="Z86" s="41">
        <f t="shared" si="58"/>
        <v>40650</v>
      </c>
      <c r="AA86" s="41">
        <f t="shared" si="59"/>
        <v>107427.75</v>
      </c>
      <c r="AB86" s="32">
        <f>VLOOKUP($A86,kurspris!$A$1:$Q$262,3,FALSE)</f>
        <v>0.75</v>
      </c>
      <c r="AC86" s="32">
        <f>VLOOKUP($A86,kurspris!$A$1:$Q$262,4,FALSE)</f>
        <v>0.25</v>
      </c>
      <c r="AD86" s="32">
        <f>VLOOKUP($A86,kurspris!$A$1:$Q$262,5,FALSE)</f>
        <v>0</v>
      </c>
      <c r="AE86" s="32">
        <f>VLOOKUP($A86,kurspris!$A$1:$Q$262,6,FALSE)</f>
        <v>0</v>
      </c>
      <c r="AF86" s="32">
        <f>VLOOKUP($A86,kurspris!$A$1:$Q$262,7,FALSE)</f>
        <v>0</v>
      </c>
      <c r="AG86" s="32">
        <f>VLOOKUP($A86,kurspris!$A$1:$Q$262,8,FALSE)</f>
        <v>0</v>
      </c>
      <c r="AH86" s="32">
        <f>VLOOKUP($A86,kurspris!$A$1:$Q$262,9,FALSE)</f>
        <v>0</v>
      </c>
      <c r="AI86" s="32">
        <f>VLOOKUP($A86,kurspris!$A$1:$Q$262,10,FALSE)</f>
        <v>0</v>
      </c>
      <c r="AJ86" s="32">
        <f>VLOOKUP($A86,kurspris!$A$1:$Q$262,11,FALSE)</f>
        <v>0</v>
      </c>
      <c r="AK86" s="32">
        <f>VLOOKUP($A86,kurspris!$A$1:$Q$262,12,FALSE)</f>
        <v>0</v>
      </c>
      <c r="AL86" s="32">
        <f>VLOOKUP($A86,kurspris!$A$1:$Q$262,13,FALSE)</f>
        <v>0</v>
      </c>
      <c r="AM86" s="32">
        <f>VLOOKUP($A86,kurspris!$A$1:$Q$262,14,FALSE)</f>
        <v>0</v>
      </c>
      <c r="AN86" s="38" t="s">
        <v>946</v>
      </c>
      <c r="AO86" s="32" t="s">
        <v>947</v>
      </c>
      <c r="AP86" s="32">
        <f t="shared" si="60"/>
        <v>0.5625</v>
      </c>
      <c r="AQ86" s="234">
        <f t="shared" si="61"/>
        <v>0.5625</v>
      </c>
      <c r="AR86" s="32">
        <f t="shared" si="62"/>
        <v>0.1875</v>
      </c>
      <c r="AS86" s="234">
        <f t="shared" si="63"/>
        <v>0.1875</v>
      </c>
      <c r="AT86" s="32">
        <f t="shared" si="64"/>
        <v>0</v>
      </c>
      <c r="AU86" s="32">
        <f t="shared" si="65"/>
        <v>0</v>
      </c>
      <c r="AV86" s="32">
        <f t="shared" si="66"/>
        <v>0</v>
      </c>
      <c r="AW86" s="234">
        <f t="shared" si="67"/>
        <v>0</v>
      </c>
      <c r="AX86" s="226">
        <f t="shared" si="68"/>
        <v>0</v>
      </c>
      <c r="AY86" s="234">
        <f t="shared" si="69"/>
        <v>0</v>
      </c>
      <c r="AZ86" s="32">
        <f t="shared" si="70"/>
        <v>0</v>
      </c>
      <c r="BA86" s="234">
        <f t="shared" si="71"/>
        <v>0</v>
      </c>
      <c r="BB86" s="32">
        <f t="shared" si="72"/>
        <v>0</v>
      </c>
      <c r="BC86" s="234">
        <f t="shared" si="73"/>
        <v>0</v>
      </c>
      <c r="BD86" s="32">
        <f t="shared" si="74"/>
        <v>0</v>
      </c>
      <c r="BE86" s="234">
        <f t="shared" si="75"/>
        <v>0</v>
      </c>
      <c r="BF86" s="32">
        <f t="shared" si="76"/>
        <v>0</v>
      </c>
      <c r="BG86" s="234">
        <f t="shared" si="77"/>
        <v>0</v>
      </c>
      <c r="BH86" s="32">
        <f t="shared" si="78"/>
        <v>0</v>
      </c>
      <c r="BI86" s="32">
        <f t="shared" si="79"/>
        <v>0</v>
      </c>
      <c r="BJ86" s="234">
        <f t="shared" si="80"/>
        <v>0</v>
      </c>
      <c r="BK86" s="32">
        <f t="shared" si="81"/>
        <v>0</v>
      </c>
      <c r="BL86" s="234">
        <f t="shared" si="82"/>
        <v>0</v>
      </c>
    </row>
    <row r="87" spans="1:64" x14ac:dyDescent="0.25">
      <c r="A87" s="221" t="s">
        <v>778</v>
      </c>
      <c r="B87" s="26" t="str">
        <f>VLOOKUP(A87,kurspris!$A$1:$B$304,2,FALSE)</f>
        <v>Hem- och konsumentkunskap A</v>
      </c>
      <c r="C87" s="56"/>
      <c r="D87" s="32" t="s">
        <v>74</v>
      </c>
      <c r="E87" s="59" t="s">
        <v>925</v>
      </c>
      <c r="F87" s="59" t="s">
        <v>933</v>
      </c>
      <c r="G87" s="59" t="s">
        <v>935</v>
      </c>
      <c r="H87" s="59"/>
      <c r="K87" s="37"/>
      <c r="L87" s="32">
        <v>50</v>
      </c>
      <c r="M87" s="418">
        <v>15</v>
      </c>
      <c r="N87" s="32">
        <v>3</v>
      </c>
      <c r="O87" s="234">
        <f t="shared" si="55"/>
        <v>0.75</v>
      </c>
      <c r="P87" s="39">
        <v>1</v>
      </c>
      <c r="Q87" s="234">
        <f t="shared" si="56"/>
        <v>0.75</v>
      </c>
      <c r="R87" s="32">
        <f>VLOOKUP(A87,'Ansvar kurs'!$A$1:$C$399,2,FALSE)</f>
        <v>2650</v>
      </c>
      <c r="S87" s="32" t="str">
        <f>VLOOKUP(R87,Orgenheter!$A$1:$C$166,2,FALSE)</f>
        <v xml:space="preserve">Kostvetenskap                 </v>
      </c>
      <c r="T87" s="32" t="str">
        <f>VLOOKUP(R87,Orgenheter!$A$1:$C$166,3,FALSE)</f>
        <v>Sam</v>
      </c>
      <c r="U87" s="37" t="str">
        <f>VLOOKUP(D87,Program!$A$1:$B$34,2,FALSE)</f>
        <v>VAL-projektet</v>
      </c>
      <c r="V87" s="41">
        <f>VLOOKUP(A87,kurspris!$A$1:$Q$225,15,FALSE)</f>
        <v>19863</v>
      </c>
      <c r="W87" s="41">
        <f>VLOOKUP(A87,kurspris!$A$1:$Q$225,16,FALSE)</f>
        <v>35472</v>
      </c>
      <c r="X87" s="41">
        <f t="shared" si="57"/>
        <v>41501.25</v>
      </c>
      <c r="Y87" s="41">
        <f>VLOOKUP(A87,kurspris!$A$1:$Q$225,17,FALSE)</f>
        <v>22200</v>
      </c>
      <c r="Z87" s="41">
        <f t="shared" si="58"/>
        <v>16650</v>
      </c>
      <c r="AA87" s="41">
        <f t="shared" si="59"/>
        <v>58151.25</v>
      </c>
      <c r="AB87" s="32">
        <f>VLOOKUP($A87,kurspris!$A$1:$Q$262,3,FALSE)</f>
        <v>0</v>
      </c>
      <c r="AC87" s="32">
        <f>VLOOKUP($A87,kurspris!$A$1:$Q$262,4,FALSE)</f>
        <v>0</v>
      </c>
      <c r="AD87" s="32">
        <f>VLOOKUP($A87,kurspris!$A$1:$Q$262,5,FALSE)</f>
        <v>0</v>
      </c>
      <c r="AE87" s="32">
        <f>VLOOKUP($A87,kurspris!$A$1:$Q$262,6,FALSE)</f>
        <v>0</v>
      </c>
      <c r="AF87" s="32">
        <f>VLOOKUP($A87,kurspris!$A$1:$Q$262,7,FALSE)</f>
        <v>0</v>
      </c>
      <c r="AG87" s="32">
        <f>VLOOKUP($A87,kurspris!$A$1:$Q$262,8,FALSE)</f>
        <v>1</v>
      </c>
      <c r="AH87" s="32">
        <f>VLOOKUP($A87,kurspris!$A$1:$Q$262,9,FALSE)</f>
        <v>0</v>
      </c>
      <c r="AI87" s="32">
        <f>VLOOKUP($A87,kurspris!$A$1:$Q$262,10,FALSE)</f>
        <v>0</v>
      </c>
      <c r="AJ87" s="32">
        <f>VLOOKUP($A87,kurspris!$A$1:$Q$262,11,FALSE)</f>
        <v>0</v>
      </c>
      <c r="AK87" s="32">
        <f>VLOOKUP($A87,kurspris!$A$1:$Q$262,12,FALSE)</f>
        <v>0</v>
      </c>
      <c r="AL87" s="32">
        <f>VLOOKUP($A87,kurspris!$A$1:$Q$262,13,FALSE)</f>
        <v>0</v>
      </c>
      <c r="AM87" s="32">
        <f>VLOOKUP($A87,kurspris!$A$1:$Q$262,14,FALSE)</f>
        <v>0</v>
      </c>
      <c r="AN87" s="38" t="s">
        <v>946</v>
      </c>
      <c r="AO87" s="32" t="s">
        <v>947</v>
      </c>
      <c r="AP87" s="32">
        <f t="shared" si="60"/>
        <v>0</v>
      </c>
      <c r="AQ87" s="234">
        <f t="shared" si="61"/>
        <v>0</v>
      </c>
      <c r="AR87" s="32">
        <f t="shared" si="62"/>
        <v>0</v>
      </c>
      <c r="AS87" s="234">
        <f t="shared" si="63"/>
        <v>0</v>
      </c>
      <c r="AT87" s="32">
        <f t="shared" si="64"/>
        <v>0</v>
      </c>
      <c r="AU87" s="32">
        <f t="shared" si="65"/>
        <v>0</v>
      </c>
      <c r="AV87" s="32">
        <f t="shared" si="66"/>
        <v>0</v>
      </c>
      <c r="AW87" s="234">
        <f t="shared" si="67"/>
        <v>0</v>
      </c>
      <c r="AX87" s="226">
        <f t="shared" si="68"/>
        <v>0</v>
      </c>
      <c r="AY87" s="234">
        <f t="shared" si="69"/>
        <v>0</v>
      </c>
      <c r="AZ87" s="32">
        <f t="shared" si="70"/>
        <v>0.75</v>
      </c>
      <c r="BA87" s="234">
        <f t="shared" si="71"/>
        <v>0.75</v>
      </c>
      <c r="BB87" s="32">
        <f t="shared" si="72"/>
        <v>0</v>
      </c>
      <c r="BC87" s="234">
        <f t="shared" si="73"/>
        <v>0</v>
      </c>
      <c r="BD87" s="32">
        <f t="shared" si="74"/>
        <v>0</v>
      </c>
      <c r="BE87" s="234">
        <f t="shared" si="75"/>
        <v>0</v>
      </c>
      <c r="BF87" s="32">
        <f t="shared" si="76"/>
        <v>0</v>
      </c>
      <c r="BG87" s="234">
        <f t="shared" si="77"/>
        <v>0</v>
      </c>
      <c r="BH87" s="32">
        <f t="shared" si="78"/>
        <v>0</v>
      </c>
      <c r="BI87" s="32">
        <f t="shared" si="79"/>
        <v>0</v>
      </c>
      <c r="BJ87" s="234">
        <f t="shared" si="80"/>
        <v>0</v>
      </c>
      <c r="BK87" s="32">
        <f t="shared" si="81"/>
        <v>0</v>
      </c>
      <c r="BL87" s="234">
        <f t="shared" si="82"/>
        <v>0</v>
      </c>
    </row>
    <row r="88" spans="1:64" x14ac:dyDescent="0.25">
      <c r="A88" s="221" t="s">
        <v>835</v>
      </c>
      <c r="B88" s="26" t="str">
        <f>VLOOKUP(A88,kurspris!$A$1:$B$304,2,FALSE)</f>
        <v>Hem- och konsumentkunskap B</v>
      </c>
      <c r="C88" s="56"/>
      <c r="D88" s="32" t="s">
        <v>74</v>
      </c>
      <c r="E88" s="59" t="s">
        <v>925</v>
      </c>
      <c r="F88" s="59" t="s">
        <v>933</v>
      </c>
      <c r="G88" s="59" t="s">
        <v>934</v>
      </c>
      <c r="H88" s="59"/>
      <c r="K88" s="37"/>
      <c r="L88" s="32">
        <v>100</v>
      </c>
      <c r="M88" s="32">
        <v>30</v>
      </c>
      <c r="N88" s="32">
        <v>2</v>
      </c>
      <c r="O88" s="234">
        <f t="shared" si="55"/>
        <v>1</v>
      </c>
      <c r="P88" s="39">
        <v>1</v>
      </c>
      <c r="Q88" s="234">
        <f t="shared" si="56"/>
        <v>1</v>
      </c>
      <c r="R88" s="32">
        <f>VLOOKUP(A88,'Ansvar kurs'!$A$1:$C$399,2,FALSE)</f>
        <v>2650</v>
      </c>
      <c r="S88" s="32" t="str">
        <f>VLOOKUP(R88,Orgenheter!$A$1:$C$166,2,FALSE)</f>
        <v xml:space="preserve">Kostvetenskap                 </v>
      </c>
      <c r="T88" s="32" t="str">
        <f>VLOOKUP(R88,Orgenheter!$A$1:$C$166,3,FALSE)</f>
        <v>Sam</v>
      </c>
      <c r="U88" s="37" t="str">
        <f>VLOOKUP(D88,Program!$A$1:$B$34,2,FALSE)</f>
        <v>VAL-projektet</v>
      </c>
      <c r="V88" s="41">
        <f>VLOOKUP(A88,kurspris!$A$1:$Q$225,15,FALSE)</f>
        <v>19863</v>
      </c>
      <c r="W88" s="41">
        <f>VLOOKUP(A88,kurspris!$A$1:$Q$225,16,FALSE)</f>
        <v>35472</v>
      </c>
      <c r="X88" s="41">
        <f t="shared" si="57"/>
        <v>55335</v>
      </c>
      <c r="Y88" s="41">
        <f>VLOOKUP(A88,kurspris!$A$1:$Q$225,17,FALSE)</f>
        <v>22200</v>
      </c>
      <c r="Z88" s="41">
        <f t="shared" si="58"/>
        <v>22200</v>
      </c>
      <c r="AA88" s="41">
        <f t="shared" si="59"/>
        <v>77535</v>
      </c>
      <c r="AB88" s="32">
        <f>VLOOKUP($A88,kurspris!$A$1:$Q$262,3,FALSE)</f>
        <v>0</v>
      </c>
      <c r="AC88" s="32">
        <f>VLOOKUP($A88,kurspris!$A$1:$Q$262,4,FALSE)</f>
        <v>0</v>
      </c>
      <c r="AD88" s="32">
        <f>VLOOKUP($A88,kurspris!$A$1:$Q$262,5,FALSE)</f>
        <v>0</v>
      </c>
      <c r="AE88" s="32">
        <f>VLOOKUP($A88,kurspris!$A$1:$Q$262,6,FALSE)</f>
        <v>0</v>
      </c>
      <c r="AF88" s="32">
        <f>VLOOKUP($A88,kurspris!$A$1:$Q$262,7,FALSE)</f>
        <v>0</v>
      </c>
      <c r="AG88" s="32">
        <f>VLOOKUP($A88,kurspris!$A$1:$Q$262,8,FALSE)</f>
        <v>1</v>
      </c>
      <c r="AH88" s="32">
        <f>VLOOKUP($A88,kurspris!$A$1:$Q$262,9,FALSE)</f>
        <v>0</v>
      </c>
      <c r="AI88" s="32">
        <f>VLOOKUP($A88,kurspris!$A$1:$Q$262,10,FALSE)</f>
        <v>0</v>
      </c>
      <c r="AJ88" s="32">
        <f>VLOOKUP($A88,kurspris!$A$1:$Q$262,11,FALSE)</f>
        <v>0</v>
      </c>
      <c r="AK88" s="32">
        <f>VLOOKUP($A88,kurspris!$A$1:$Q$262,12,FALSE)</f>
        <v>0</v>
      </c>
      <c r="AL88" s="32">
        <f>VLOOKUP($A88,kurspris!$A$1:$Q$262,13,FALSE)</f>
        <v>0</v>
      </c>
      <c r="AM88" s="32">
        <f>VLOOKUP($A88,kurspris!$A$1:$Q$262,14,FALSE)</f>
        <v>0</v>
      </c>
      <c r="AN88" s="38" t="s">
        <v>946</v>
      </c>
      <c r="AP88" s="32">
        <f t="shared" si="60"/>
        <v>0</v>
      </c>
      <c r="AQ88" s="234">
        <f t="shared" si="61"/>
        <v>0</v>
      </c>
      <c r="AR88" s="32">
        <f t="shared" si="62"/>
        <v>0</v>
      </c>
      <c r="AS88" s="234">
        <f t="shared" si="63"/>
        <v>0</v>
      </c>
      <c r="AT88" s="32">
        <f t="shared" si="64"/>
        <v>0</v>
      </c>
      <c r="AU88" s="32">
        <f t="shared" si="65"/>
        <v>0</v>
      </c>
      <c r="AV88" s="32">
        <f t="shared" si="66"/>
        <v>0</v>
      </c>
      <c r="AW88" s="234">
        <f t="shared" si="67"/>
        <v>0</v>
      </c>
      <c r="AX88" s="226">
        <f t="shared" si="68"/>
        <v>0</v>
      </c>
      <c r="AY88" s="234">
        <f t="shared" si="69"/>
        <v>0</v>
      </c>
      <c r="AZ88" s="32">
        <f t="shared" si="70"/>
        <v>1</v>
      </c>
      <c r="BA88" s="234">
        <f t="shared" si="71"/>
        <v>1</v>
      </c>
      <c r="BB88" s="32">
        <f t="shared" si="72"/>
        <v>0</v>
      </c>
      <c r="BC88" s="234">
        <f t="shared" si="73"/>
        <v>0</v>
      </c>
      <c r="BD88" s="32">
        <f t="shared" si="74"/>
        <v>0</v>
      </c>
      <c r="BE88" s="234">
        <f t="shared" si="75"/>
        <v>0</v>
      </c>
      <c r="BF88" s="32">
        <f t="shared" si="76"/>
        <v>0</v>
      </c>
      <c r="BG88" s="234">
        <f t="shared" si="77"/>
        <v>0</v>
      </c>
      <c r="BH88" s="32">
        <f t="shared" si="78"/>
        <v>0</v>
      </c>
      <c r="BI88" s="32">
        <f t="shared" si="79"/>
        <v>0</v>
      </c>
      <c r="BJ88" s="234">
        <f t="shared" si="80"/>
        <v>0</v>
      </c>
      <c r="BK88" s="32">
        <f t="shared" si="81"/>
        <v>0</v>
      </c>
      <c r="BL88" s="234">
        <f t="shared" si="82"/>
        <v>0</v>
      </c>
    </row>
    <row r="89" spans="1:64" x14ac:dyDescent="0.25">
      <c r="A89" s="221" t="s">
        <v>835</v>
      </c>
      <c r="B89" s="26" t="str">
        <f>VLOOKUP(A89,kurspris!$A$1:$B$304,2,FALSE)</f>
        <v>Hem- och konsumentkunskap B</v>
      </c>
      <c r="C89" s="56"/>
      <c r="D89" s="32" t="s">
        <v>74</v>
      </c>
      <c r="E89" s="59" t="s">
        <v>927</v>
      </c>
      <c r="F89" s="59" t="s">
        <v>933</v>
      </c>
      <c r="G89" s="59" t="s">
        <v>934</v>
      </c>
      <c r="H89" s="59"/>
      <c r="J89" s="59"/>
      <c r="K89" s="37"/>
      <c r="L89" s="32">
        <v>100</v>
      </c>
      <c r="M89" s="32">
        <v>30</v>
      </c>
      <c r="N89" s="32">
        <v>1</v>
      </c>
      <c r="O89" s="234">
        <f t="shared" si="55"/>
        <v>0.5</v>
      </c>
      <c r="P89" s="39">
        <v>1</v>
      </c>
      <c r="Q89" s="234">
        <f t="shared" si="56"/>
        <v>0.5</v>
      </c>
      <c r="R89" s="32">
        <f>VLOOKUP(A89,'Ansvar kurs'!$A$1:$C$399,2,FALSE)</f>
        <v>2650</v>
      </c>
      <c r="S89" s="32" t="str">
        <f>VLOOKUP(R89,Orgenheter!$A$1:$C$166,2,FALSE)</f>
        <v xml:space="preserve">Kostvetenskap                 </v>
      </c>
      <c r="T89" s="32" t="str">
        <f>VLOOKUP(R89,Orgenheter!$A$1:$C$166,3,FALSE)</f>
        <v>Sam</v>
      </c>
      <c r="U89" s="37" t="str">
        <f>VLOOKUP(D89,Program!$A$1:$B$34,2,FALSE)</f>
        <v>VAL-projektet</v>
      </c>
      <c r="V89" s="41">
        <f>VLOOKUP(A89,kurspris!$A$1:$Q$225,15,FALSE)</f>
        <v>19863</v>
      </c>
      <c r="W89" s="41">
        <f>VLOOKUP(A89,kurspris!$A$1:$Q$225,16,FALSE)</f>
        <v>35472</v>
      </c>
      <c r="X89" s="41">
        <f t="shared" si="57"/>
        <v>27667.5</v>
      </c>
      <c r="Y89" s="41">
        <f>VLOOKUP(A89,kurspris!$A$1:$Q$225,17,FALSE)</f>
        <v>22200</v>
      </c>
      <c r="Z89" s="41">
        <f t="shared" si="58"/>
        <v>11100</v>
      </c>
      <c r="AA89" s="41">
        <f t="shared" si="59"/>
        <v>38767.5</v>
      </c>
      <c r="AB89" s="32">
        <f>VLOOKUP($A89,kurspris!$A$1:$Q$262,3,FALSE)</f>
        <v>0</v>
      </c>
      <c r="AC89" s="32">
        <f>VLOOKUP($A89,kurspris!$A$1:$Q$262,4,FALSE)</f>
        <v>0</v>
      </c>
      <c r="AD89" s="32">
        <f>VLOOKUP($A89,kurspris!$A$1:$Q$262,5,FALSE)</f>
        <v>0</v>
      </c>
      <c r="AE89" s="32">
        <f>VLOOKUP($A89,kurspris!$A$1:$Q$262,6,FALSE)</f>
        <v>0</v>
      </c>
      <c r="AF89" s="32">
        <f>VLOOKUP($A89,kurspris!$A$1:$Q$262,7,FALSE)</f>
        <v>0</v>
      </c>
      <c r="AG89" s="32">
        <f>VLOOKUP($A89,kurspris!$A$1:$Q$262,8,FALSE)</f>
        <v>1</v>
      </c>
      <c r="AH89" s="32">
        <f>VLOOKUP($A89,kurspris!$A$1:$Q$262,9,FALSE)</f>
        <v>0</v>
      </c>
      <c r="AI89" s="32">
        <f>VLOOKUP($A89,kurspris!$A$1:$Q$262,10,FALSE)</f>
        <v>0</v>
      </c>
      <c r="AJ89" s="32">
        <f>VLOOKUP($A89,kurspris!$A$1:$Q$262,11,FALSE)</f>
        <v>0</v>
      </c>
      <c r="AK89" s="32">
        <f>VLOOKUP($A89,kurspris!$A$1:$Q$262,12,FALSE)</f>
        <v>0</v>
      </c>
      <c r="AL89" s="32">
        <f>VLOOKUP($A89,kurspris!$A$1:$Q$262,13,FALSE)</f>
        <v>0</v>
      </c>
      <c r="AM89" s="32">
        <f>VLOOKUP($A89,kurspris!$A$1:$Q$262,14,FALSE)</f>
        <v>0</v>
      </c>
      <c r="AN89" s="38" t="s">
        <v>946</v>
      </c>
      <c r="AO89"/>
      <c r="AP89" s="32">
        <f t="shared" si="60"/>
        <v>0</v>
      </c>
      <c r="AQ89" s="234">
        <f t="shared" si="61"/>
        <v>0</v>
      </c>
      <c r="AR89" s="32">
        <f t="shared" si="62"/>
        <v>0</v>
      </c>
      <c r="AS89" s="234">
        <f t="shared" si="63"/>
        <v>0</v>
      </c>
      <c r="AT89" s="32">
        <f t="shared" si="64"/>
        <v>0</v>
      </c>
      <c r="AU89" s="32">
        <f t="shared" si="65"/>
        <v>0</v>
      </c>
      <c r="AV89" s="32">
        <f t="shared" si="66"/>
        <v>0</v>
      </c>
      <c r="AW89" s="234">
        <f t="shared" si="67"/>
        <v>0</v>
      </c>
      <c r="AX89" s="226">
        <f t="shared" si="68"/>
        <v>0</v>
      </c>
      <c r="AY89" s="234">
        <f t="shared" si="69"/>
        <v>0</v>
      </c>
      <c r="AZ89" s="32">
        <f t="shared" si="70"/>
        <v>0.5</v>
      </c>
      <c r="BA89" s="234">
        <f t="shared" si="71"/>
        <v>0.5</v>
      </c>
      <c r="BB89" s="32">
        <f t="shared" si="72"/>
        <v>0</v>
      </c>
      <c r="BC89" s="234">
        <f t="shared" si="73"/>
        <v>0</v>
      </c>
      <c r="BD89" s="32">
        <f t="shared" si="74"/>
        <v>0</v>
      </c>
      <c r="BE89" s="234">
        <f t="shared" si="75"/>
        <v>0</v>
      </c>
      <c r="BF89" s="32">
        <f t="shared" si="76"/>
        <v>0</v>
      </c>
      <c r="BG89" s="234">
        <f t="shared" si="77"/>
        <v>0</v>
      </c>
      <c r="BH89" s="32">
        <f t="shared" si="78"/>
        <v>0</v>
      </c>
      <c r="BI89" s="32">
        <f t="shared" si="79"/>
        <v>0</v>
      </c>
      <c r="BJ89" s="234">
        <f t="shared" si="80"/>
        <v>0</v>
      </c>
      <c r="BK89" s="32">
        <f t="shared" si="81"/>
        <v>0</v>
      </c>
      <c r="BL89" s="234">
        <f t="shared" si="82"/>
        <v>0</v>
      </c>
    </row>
    <row r="90" spans="1:64" x14ac:dyDescent="0.25">
      <c r="A90" s="221" t="s">
        <v>922</v>
      </c>
      <c r="B90" s="26" t="str">
        <f>VLOOKUP(A90,kurspris!$A$1:$B$304,2,FALSE)</f>
        <v>Hem- och konsumentkunskap B15</v>
      </c>
      <c r="C90" s="56"/>
      <c r="D90" s="32" t="s">
        <v>74</v>
      </c>
      <c r="E90" s="59" t="s">
        <v>925</v>
      </c>
      <c r="F90" s="59" t="s">
        <v>933</v>
      </c>
      <c r="G90" s="59" t="s">
        <v>936</v>
      </c>
      <c r="H90" s="59"/>
      <c r="J90" s="59"/>
      <c r="K90" s="37"/>
      <c r="L90" s="32">
        <v>100</v>
      </c>
      <c r="M90" s="32">
        <v>15</v>
      </c>
      <c r="N90" s="32">
        <v>1</v>
      </c>
      <c r="O90" s="234">
        <f t="shared" si="55"/>
        <v>0.25</v>
      </c>
      <c r="P90" s="39">
        <v>1</v>
      </c>
      <c r="Q90" s="234">
        <f t="shared" si="56"/>
        <v>0.25</v>
      </c>
      <c r="R90" s="32">
        <f>VLOOKUP(A90,'Ansvar kurs'!$A$1:$C$399,2,FALSE)</f>
        <v>2650</v>
      </c>
      <c r="S90" s="32" t="str">
        <f>VLOOKUP(R90,Orgenheter!$A$1:$C$166,2,FALSE)</f>
        <v xml:space="preserve">Kostvetenskap                 </v>
      </c>
      <c r="T90" s="32" t="str">
        <f>VLOOKUP(R90,Orgenheter!$A$1:$C$166,3,FALSE)</f>
        <v>Sam</v>
      </c>
      <c r="U90" s="37" t="str">
        <f>VLOOKUP(D90,Program!$A$1:$B$34,2,FALSE)</f>
        <v>VAL-projektet</v>
      </c>
      <c r="V90" s="41">
        <f>VLOOKUP(A90,kurspris!$A$1:$Q$225,15,FALSE)</f>
        <v>19863</v>
      </c>
      <c r="W90" s="41">
        <f>VLOOKUP(A90,kurspris!$A$1:$Q$225,16,FALSE)</f>
        <v>35472</v>
      </c>
      <c r="X90" s="41">
        <f t="shared" si="57"/>
        <v>13833.75</v>
      </c>
      <c r="Y90" s="41">
        <f>VLOOKUP(A90,kurspris!$A$1:$Q$225,17,FALSE)</f>
        <v>22200</v>
      </c>
      <c r="Z90" s="41">
        <f t="shared" si="58"/>
        <v>5550</v>
      </c>
      <c r="AA90" s="41">
        <f t="shared" si="59"/>
        <v>19383.75</v>
      </c>
      <c r="AB90" s="32">
        <f>VLOOKUP($A90,kurspris!$A$1:$Q$262,3,FALSE)</f>
        <v>0</v>
      </c>
      <c r="AC90" s="32">
        <f>VLOOKUP($A90,kurspris!$A$1:$Q$262,4,FALSE)</f>
        <v>0</v>
      </c>
      <c r="AD90" s="32">
        <f>VLOOKUP($A90,kurspris!$A$1:$Q$262,5,FALSE)</f>
        <v>0</v>
      </c>
      <c r="AE90" s="32">
        <f>VLOOKUP($A90,kurspris!$A$1:$Q$262,6,FALSE)</f>
        <v>0</v>
      </c>
      <c r="AF90" s="32">
        <f>VLOOKUP($A90,kurspris!$A$1:$Q$262,7,FALSE)</f>
        <v>0</v>
      </c>
      <c r="AG90" s="32">
        <f>VLOOKUP($A90,kurspris!$A$1:$Q$262,8,FALSE)</f>
        <v>1</v>
      </c>
      <c r="AH90" s="32">
        <f>VLOOKUP($A90,kurspris!$A$1:$Q$262,9,FALSE)</f>
        <v>0</v>
      </c>
      <c r="AI90" s="32">
        <f>VLOOKUP($A90,kurspris!$A$1:$Q$262,10,FALSE)</f>
        <v>0</v>
      </c>
      <c r="AJ90" s="32">
        <f>VLOOKUP($A90,kurspris!$A$1:$Q$262,11,FALSE)</f>
        <v>0</v>
      </c>
      <c r="AK90" s="32">
        <f>VLOOKUP($A90,kurspris!$A$1:$Q$262,12,FALSE)</f>
        <v>0</v>
      </c>
      <c r="AL90" s="32">
        <f>VLOOKUP($A90,kurspris!$A$1:$Q$262,13,FALSE)</f>
        <v>0</v>
      </c>
      <c r="AM90" s="32">
        <f>VLOOKUP($A90,kurspris!$A$1:$Q$262,14,FALSE)</f>
        <v>0</v>
      </c>
      <c r="AN90" s="38" t="s">
        <v>946</v>
      </c>
      <c r="AO90"/>
      <c r="AP90" s="32">
        <f t="shared" si="60"/>
        <v>0</v>
      </c>
      <c r="AQ90" s="234">
        <f t="shared" si="61"/>
        <v>0</v>
      </c>
      <c r="AR90" s="32">
        <f t="shared" si="62"/>
        <v>0</v>
      </c>
      <c r="AS90" s="234">
        <f t="shared" si="63"/>
        <v>0</v>
      </c>
      <c r="AT90" s="32">
        <f t="shared" si="64"/>
        <v>0</v>
      </c>
      <c r="AU90" s="32">
        <f t="shared" si="65"/>
        <v>0</v>
      </c>
      <c r="AV90" s="32">
        <f t="shared" si="66"/>
        <v>0</v>
      </c>
      <c r="AW90" s="234">
        <f t="shared" si="67"/>
        <v>0</v>
      </c>
      <c r="AX90" s="226">
        <f t="shared" si="68"/>
        <v>0</v>
      </c>
      <c r="AY90" s="234">
        <f t="shared" si="69"/>
        <v>0</v>
      </c>
      <c r="AZ90" s="32">
        <f t="shared" si="70"/>
        <v>0.25</v>
      </c>
      <c r="BA90" s="234">
        <f t="shared" si="71"/>
        <v>0.25</v>
      </c>
      <c r="BB90" s="32">
        <f t="shared" si="72"/>
        <v>0</v>
      </c>
      <c r="BC90" s="234">
        <f t="shared" si="73"/>
        <v>0</v>
      </c>
      <c r="BD90" s="32">
        <f t="shared" si="74"/>
        <v>0</v>
      </c>
      <c r="BE90" s="234">
        <f t="shared" si="75"/>
        <v>0</v>
      </c>
      <c r="BF90" s="32">
        <f t="shared" si="76"/>
        <v>0</v>
      </c>
      <c r="BG90" s="234">
        <f t="shared" si="77"/>
        <v>0</v>
      </c>
      <c r="BH90" s="32">
        <f t="shared" si="78"/>
        <v>0</v>
      </c>
      <c r="BI90" s="32">
        <f t="shared" si="79"/>
        <v>0</v>
      </c>
      <c r="BJ90" s="234">
        <f t="shared" si="80"/>
        <v>0</v>
      </c>
      <c r="BK90" s="32">
        <f t="shared" si="81"/>
        <v>0</v>
      </c>
      <c r="BL90" s="234">
        <f t="shared" si="82"/>
        <v>0</v>
      </c>
    </row>
    <row r="91" spans="1:64" x14ac:dyDescent="0.25">
      <c r="A91" s="221" t="s">
        <v>617</v>
      </c>
      <c r="B91" s="26" t="str">
        <f>VLOOKUP(A91,kurspris!$A$1:$B$304,2,FALSE)</f>
        <v>Läs - och skrivutveckling, kurs 3</v>
      </c>
      <c r="C91" s="56"/>
      <c r="D91" s="32" t="s">
        <v>74</v>
      </c>
      <c r="E91" s="59" t="s">
        <v>925</v>
      </c>
      <c r="F91" s="59" t="s">
        <v>933</v>
      </c>
      <c r="G91" s="59" t="s">
        <v>934</v>
      </c>
      <c r="H91" s="59"/>
      <c r="K91" s="37"/>
      <c r="L91" s="32">
        <v>50</v>
      </c>
      <c r="M91" s="32">
        <v>15</v>
      </c>
      <c r="N91" s="32">
        <v>10</v>
      </c>
      <c r="O91" s="234">
        <f t="shared" si="55"/>
        <v>2.5</v>
      </c>
      <c r="P91" s="39">
        <v>1</v>
      </c>
      <c r="Q91" s="234">
        <f t="shared" si="56"/>
        <v>2.5</v>
      </c>
      <c r="R91" s="32">
        <f>VLOOKUP(A91,'Ansvar kurs'!$A$1:$C$399,2,FALSE)</f>
        <v>1620</v>
      </c>
      <c r="S91" s="32" t="str">
        <f>VLOOKUP(R91,Orgenheter!$A$1:$C$166,2,FALSE)</f>
        <v>Inst för språkstudier</v>
      </c>
      <c r="T91" s="32" t="str">
        <f>VLOOKUP(R91,Orgenheter!$A$1:$C$166,3,FALSE)</f>
        <v>Hum</v>
      </c>
      <c r="U91" s="37" t="str">
        <f>VLOOKUP(D91,Program!$A$1:$B$34,2,FALSE)</f>
        <v>VAL-projektet</v>
      </c>
      <c r="V91" s="41">
        <f>VLOOKUP(A91,kurspris!$A$1:$Q$225,15,FALSE)</f>
        <v>19097</v>
      </c>
      <c r="W91" s="41">
        <f>VLOOKUP(A91,kurspris!$A$1:$Q$225,16,FALSE)</f>
        <v>16075</v>
      </c>
      <c r="X91" s="41">
        <f t="shared" si="57"/>
        <v>87930</v>
      </c>
      <c r="Y91" s="41">
        <f>VLOOKUP(A91,kurspris!$A$1:$Q$225,17,FALSE)</f>
        <v>5900</v>
      </c>
      <c r="Z91" s="41">
        <f t="shared" si="58"/>
        <v>14750</v>
      </c>
      <c r="AA91" s="41">
        <f t="shared" si="59"/>
        <v>102680</v>
      </c>
      <c r="AB91" s="32">
        <f>VLOOKUP($A91,kurspris!$A$1:$Q$262,3,FALSE)</f>
        <v>0</v>
      </c>
      <c r="AC91" s="32">
        <f>VLOOKUP($A91,kurspris!$A$1:$Q$262,4,FALSE)</f>
        <v>1</v>
      </c>
      <c r="AD91" s="32">
        <f>VLOOKUP($A91,kurspris!$A$1:$Q$262,5,FALSE)</f>
        <v>0</v>
      </c>
      <c r="AE91" s="32">
        <f>VLOOKUP($A91,kurspris!$A$1:$Q$262,6,FALSE)</f>
        <v>0</v>
      </c>
      <c r="AF91" s="32">
        <f>VLOOKUP($A91,kurspris!$A$1:$Q$262,7,FALSE)</f>
        <v>0</v>
      </c>
      <c r="AG91" s="32">
        <f>VLOOKUP($A91,kurspris!$A$1:$Q$262,8,FALSE)</f>
        <v>0</v>
      </c>
      <c r="AH91" s="32">
        <f>VLOOKUP($A91,kurspris!$A$1:$Q$262,9,FALSE)</f>
        <v>0</v>
      </c>
      <c r="AI91" s="32">
        <f>VLOOKUP($A91,kurspris!$A$1:$Q$262,10,FALSE)</f>
        <v>0</v>
      </c>
      <c r="AJ91" s="32">
        <f>VLOOKUP($A91,kurspris!$A$1:$Q$262,11,FALSE)</f>
        <v>0</v>
      </c>
      <c r="AK91" s="32">
        <f>VLOOKUP($A91,kurspris!$A$1:$Q$262,12,FALSE)</f>
        <v>0</v>
      </c>
      <c r="AL91" s="32">
        <f>VLOOKUP($A91,kurspris!$A$1:$Q$262,13,FALSE)</f>
        <v>0</v>
      </c>
      <c r="AM91" s="32">
        <f>VLOOKUP($A91,kurspris!$A$1:$Q$262,14,FALSE)</f>
        <v>0</v>
      </c>
      <c r="AN91" s="38" t="s">
        <v>946</v>
      </c>
      <c r="AP91" s="32">
        <f t="shared" si="60"/>
        <v>0</v>
      </c>
      <c r="AQ91" s="234">
        <f t="shared" si="61"/>
        <v>0</v>
      </c>
      <c r="AR91" s="32">
        <f t="shared" si="62"/>
        <v>2.5</v>
      </c>
      <c r="AS91" s="234">
        <f t="shared" si="63"/>
        <v>2.5</v>
      </c>
      <c r="AT91" s="32">
        <f t="shared" si="64"/>
        <v>0</v>
      </c>
      <c r="AU91" s="32">
        <f t="shared" si="65"/>
        <v>0</v>
      </c>
      <c r="AV91" s="32">
        <f t="shared" si="66"/>
        <v>0</v>
      </c>
      <c r="AW91" s="234">
        <f t="shared" si="67"/>
        <v>0</v>
      </c>
      <c r="AX91" s="226">
        <f t="shared" si="68"/>
        <v>0</v>
      </c>
      <c r="AY91" s="234">
        <f t="shared" si="69"/>
        <v>0</v>
      </c>
      <c r="AZ91" s="32">
        <f t="shared" si="70"/>
        <v>0</v>
      </c>
      <c r="BA91" s="234">
        <f t="shared" si="71"/>
        <v>0</v>
      </c>
      <c r="BB91" s="32">
        <f t="shared" si="72"/>
        <v>0</v>
      </c>
      <c r="BC91" s="234">
        <f t="shared" si="73"/>
        <v>0</v>
      </c>
      <c r="BD91" s="32">
        <f t="shared" si="74"/>
        <v>0</v>
      </c>
      <c r="BE91" s="234">
        <f t="shared" si="75"/>
        <v>0</v>
      </c>
      <c r="BF91" s="32">
        <f t="shared" si="76"/>
        <v>0</v>
      </c>
      <c r="BG91" s="234">
        <f t="shared" si="77"/>
        <v>0</v>
      </c>
      <c r="BH91" s="32">
        <f t="shared" si="78"/>
        <v>0</v>
      </c>
      <c r="BI91" s="32">
        <f t="shared" si="79"/>
        <v>0</v>
      </c>
      <c r="BJ91" s="234">
        <f t="shared" si="80"/>
        <v>0</v>
      </c>
      <c r="BK91" s="32">
        <f t="shared" si="81"/>
        <v>0</v>
      </c>
      <c r="BL91" s="234">
        <f t="shared" si="82"/>
        <v>0</v>
      </c>
    </row>
    <row r="92" spans="1:64" x14ac:dyDescent="0.25">
      <c r="A92" s="221" t="s">
        <v>617</v>
      </c>
      <c r="B92" s="26" t="str">
        <f>VLOOKUP(A92,kurspris!$A$1:$B$304,2,FALSE)</f>
        <v>Läs - och skrivutveckling, kurs 3</v>
      </c>
      <c r="C92" s="56"/>
      <c r="D92" s="32" t="s">
        <v>74</v>
      </c>
      <c r="E92" s="59" t="s">
        <v>927</v>
      </c>
      <c r="F92" s="59" t="s">
        <v>933</v>
      </c>
      <c r="G92" s="59" t="s">
        <v>934</v>
      </c>
      <c r="H92" s="59"/>
      <c r="K92" s="37"/>
      <c r="L92" s="32">
        <v>50</v>
      </c>
      <c r="M92" s="32">
        <v>15</v>
      </c>
      <c r="N92" s="32">
        <v>2</v>
      </c>
      <c r="O92" s="234">
        <f t="shared" si="55"/>
        <v>0.5</v>
      </c>
      <c r="P92" s="39">
        <v>1</v>
      </c>
      <c r="Q92" s="234">
        <f t="shared" si="56"/>
        <v>0.5</v>
      </c>
      <c r="R92" s="32">
        <f>VLOOKUP(A92,'Ansvar kurs'!$A$1:$C$399,2,FALSE)</f>
        <v>1620</v>
      </c>
      <c r="S92" s="32" t="str">
        <f>VLOOKUP(R92,Orgenheter!$A$1:$C$166,2,FALSE)</f>
        <v>Inst för språkstudier</v>
      </c>
      <c r="T92" s="32" t="str">
        <f>VLOOKUP(R92,Orgenheter!$A$1:$C$166,3,FALSE)</f>
        <v>Hum</v>
      </c>
      <c r="U92" s="37" t="str">
        <f>VLOOKUP(D92,Program!$A$1:$B$34,2,FALSE)</f>
        <v>VAL-projektet</v>
      </c>
      <c r="V92" s="41">
        <f>VLOOKUP(A92,kurspris!$A$1:$Q$225,15,FALSE)</f>
        <v>19097</v>
      </c>
      <c r="W92" s="41">
        <f>VLOOKUP(A92,kurspris!$A$1:$Q$225,16,FALSE)</f>
        <v>16075</v>
      </c>
      <c r="X92" s="41">
        <f t="shared" si="57"/>
        <v>17586</v>
      </c>
      <c r="Y92" s="41">
        <f>VLOOKUP(A92,kurspris!$A$1:$Q$225,17,FALSE)</f>
        <v>5900</v>
      </c>
      <c r="Z92" s="41">
        <f t="shared" si="58"/>
        <v>2950</v>
      </c>
      <c r="AA92" s="41">
        <f t="shared" si="59"/>
        <v>20536</v>
      </c>
      <c r="AB92" s="32">
        <f>VLOOKUP($A92,kurspris!$A$1:$Q$262,3,FALSE)</f>
        <v>0</v>
      </c>
      <c r="AC92" s="32">
        <f>VLOOKUP($A92,kurspris!$A$1:$Q$262,4,FALSE)</f>
        <v>1</v>
      </c>
      <c r="AD92" s="32">
        <f>VLOOKUP($A92,kurspris!$A$1:$Q$262,5,FALSE)</f>
        <v>0</v>
      </c>
      <c r="AE92" s="32">
        <f>VLOOKUP($A92,kurspris!$A$1:$Q$262,6,FALSE)</f>
        <v>0</v>
      </c>
      <c r="AF92" s="32">
        <f>VLOOKUP($A92,kurspris!$A$1:$Q$262,7,FALSE)</f>
        <v>0</v>
      </c>
      <c r="AG92" s="32">
        <f>VLOOKUP($A92,kurspris!$A$1:$Q$262,8,FALSE)</f>
        <v>0</v>
      </c>
      <c r="AH92" s="32">
        <f>VLOOKUP($A92,kurspris!$A$1:$Q$262,9,FALSE)</f>
        <v>0</v>
      </c>
      <c r="AI92" s="32">
        <f>VLOOKUP($A92,kurspris!$A$1:$Q$262,10,FALSE)</f>
        <v>0</v>
      </c>
      <c r="AJ92" s="32">
        <f>VLOOKUP($A92,kurspris!$A$1:$Q$262,11,FALSE)</f>
        <v>0</v>
      </c>
      <c r="AK92" s="32">
        <f>VLOOKUP($A92,kurspris!$A$1:$Q$262,12,FALSE)</f>
        <v>0</v>
      </c>
      <c r="AL92" s="32">
        <f>VLOOKUP($A92,kurspris!$A$1:$Q$262,13,FALSE)</f>
        <v>0</v>
      </c>
      <c r="AM92" s="32">
        <f>VLOOKUP($A92,kurspris!$A$1:$Q$262,14,FALSE)</f>
        <v>0</v>
      </c>
      <c r="AN92" s="38" t="s">
        <v>946</v>
      </c>
      <c r="AP92" s="32">
        <f t="shared" si="60"/>
        <v>0</v>
      </c>
      <c r="AQ92" s="234">
        <f t="shared" si="61"/>
        <v>0</v>
      </c>
      <c r="AR92" s="32">
        <f t="shared" si="62"/>
        <v>0.5</v>
      </c>
      <c r="AS92" s="234">
        <f t="shared" si="63"/>
        <v>0.5</v>
      </c>
      <c r="AT92" s="32">
        <f t="shared" si="64"/>
        <v>0</v>
      </c>
      <c r="AU92" s="32">
        <f t="shared" si="65"/>
        <v>0</v>
      </c>
      <c r="AV92" s="32">
        <f t="shared" si="66"/>
        <v>0</v>
      </c>
      <c r="AW92" s="234">
        <f t="shared" si="67"/>
        <v>0</v>
      </c>
      <c r="AX92" s="226">
        <f t="shared" si="68"/>
        <v>0</v>
      </c>
      <c r="AY92" s="234">
        <f t="shared" si="69"/>
        <v>0</v>
      </c>
      <c r="AZ92" s="32">
        <f t="shared" si="70"/>
        <v>0</v>
      </c>
      <c r="BA92" s="234">
        <f t="shared" si="71"/>
        <v>0</v>
      </c>
      <c r="BB92" s="32">
        <f t="shared" si="72"/>
        <v>0</v>
      </c>
      <c r="BC92" s="234">
        <f t="shared" si="73"/>
        <v>0</v>
      </c>
      <c r="BD92" s="32">
        <f t="shared" si="74"/>
        <v>0</v>
      </c>
      <c r="BE92" s="234">
        <f t="shared" si="75"/>
        <v>0</v>
      </c>
      <c r="BF92" s="32">
        <f t="shared" si="76"/>
        <v>0</v>
      </c>
      <c r="BG92" s="234">
        <f t="shared" si="77"/>
        <v>0</v>
      </c>
      <c r="BH92" s="32">
        <f t="shared" si="78"/>
        <v>0</v>
      </c>
      <c r="BI92" s="32">
        <f t="shared" si="79"/>
        <v>0</v>
      </c>
      <c r="BJ92" s="234">
        <f t="shared" si="80"/>
        <v>0</v>
      </c>
      <c r="BK92" s="32">
        <f t="shared" si="81"/>
        <v>0</v>
      </c>
      <c r="BL92" s="234">
        <f t="shared" si="82"/>
        <v>0</v>
      </c>
    </row>
    <row r="93" spans="1:64" x14ac:dyDescent="0.25">
      <c r="A93" s="221" t="s">
        <v>923</v>
      </c>
      <c r="B93" s="26" t="str">
        <f>VLOOKUP(A93,kurspris!$A$1:$B$304,2,FALSE)</f>
        <v>Matematik 3 för förskoleklass och grundskolans årskurs 1-3</v>
      </c>
      <c r="C93" s="56"/>
      <c r="D93" s="32" t="s">
        <v>74</v>
      </c>
      <c r="E93" s="59" t="s">
        <v>925</v>
      </c>
      <c r="F93" s="59" t="s">
        <v>933</v>
      </c>
      <c r="G93" s="59" t="s">
        <v>938</v>
      </c>
      <c r="H93" s="59"/>
      <c r="K93" s="37"/>
      <c r="L93" s="32">
        <v>100</v>
      </c>
      <c r="M93" s="32">
        <v>7.5</v>
      </c>
      <c r="N93" s="32">
        <v>1</v>
      </c>
      <c r="O93" s="234">
        <f t="shared" si="55"/>
        <v>0.125</v>
      </c>
      <c r="P93" s="39">
        <v>1</v>
      </c>
      <c r="Q93" s="234">
        <f t="shared" si="56"/>
        <v>0.125</v>
      </c>
      <c r="R93" s="32">
        <f>VLOOKUP(A93,'Ansvar kurs'!$A$1:$C$399,2,FALSE)</f>
        <v>5740</v>
      </c>
      <c r="S93" s="32" t="str">
        <f>VLOOKUP(R93,Orgenheter!$A$1:$C$166,2,FALSE)</f>
        <v>NMD</v>
      </c>
      <c r="T93" s="32" t="str">
        <f>VLOOKUP(R93,Orgenheter!$A$1:$C$166,3,FALSE)</f>
        <v>TekNat</v>
      </c>
      <c r="U93" s="37" t="str">
        <f>VLOOKUP(D93,Program!$A$1:$B$34,2,FALSE)</f>
        <v>VAL-projektet</v>
      </c>
      <c r="V93" s="41">
        <f>VLOOKUP(A93,kurspris!$A$1:$Q$225,15,FALSE)</f>
        <v>19863</v>
      </c>
      <c r="W93" s="41">
        <f>VLOOKUP(A93,kurspris!$A$1:$Q$225,16,FALSE)</f>
        <v>35472</v>
      </c>
      <c r="X93" s="41">
        <f t="shared" si="57"/>
        <v>6916.875</v>
      </c>
      <c r="Y93" s="41">
        <f>VLOOKUP(A93,kurspris!$A$1:$Q$225,17,FALSE)</f>
        <v>22200</v>
      </c>
      <c r="Z93" s="41">
        <f t="shared" si="58"/>
        <v>2775</v>
      </c>
      <c r="AA93" s="41">
        <f t="shared" si="59"/>
        <v>9691.875</v>
      </c>
      <c r="AB93" s="32">
        <f>VLOOKUP($A93,kurspris!$A$1:$Q$262,3,FALSE)</f>
        <v>0</v>
      </c>
      <c r="AC93" s="32">
        <f>VLOOKUP($A93,kurspris!$A$1:$Q$262,4,FALSE)</f>
        <v>0</v>
      </c>
      <c r="AD93" s="32">
        <f>VLOOKUP($A93,kurspris!$A$1:$Q$262,5,FALSE)</f>
        <v>0</v>
      </c>
      <c r="AE93" s="32">
        <f>VLOOKUP($A93,kurspris!$A$1:$Q$262,6,FALSE)</f>
        <v>0</v>
      </c>
      <c r="AF93" s="32">
        <f>VLOOKUP($A93,kurspris!$A$1:$Q$262,7,FALSE)</f>
        <v>0</v>
      </c>
      <c r="AG93" s="32">
        <f>VLOOKUP($A93,kurspris!$A$1:$Q$262,8,FALSE)</f>
        <v>1</v>
      </c>
      <c r="AH93" s="32">
        <f>VLOOKUP($A93,kurspris!$A$1:$Q$262,9,FALSE)</f>
        <v>0</v>
      </c>
      <c r="AI93" s="32">
        <f>VLOOKUP($A93,kurspris!$A$1:$Q$262,10,FALSE)</f>
        <v>0</v>
      </c>
      <c r="AJ93" s="32">
        <f>VLOOKUP($A93,kurspris!$A$1:$Q$262,11,FALSE)</f>
        <v>0</v>
      </c>
      <c r="AK93" s="32">
        <f>VLOOKUP($A93,kurspris!$A$1:$Q$262,12,FALSE)</f>
        <v>0</v>
      </c>
      <c r="AL93" s="32">
        <f>VLOOKUP($A93,kurspris!$A$1:$Q$262,13,FALSE)</f>
        <v>0</v>
      </c>
      <c r="AM93" s="32">
        <f>VLOOKUP($A93,kurspris!$A$1:$Q$262,14,FALSE)</f>
        <v>0</v>
      </c>
      <c r="AN93" s="38" t="s">
        <v>946</v>
      </c>
      <c r="AO93"/>
      <c r="AP93" s="32">
        <f t="shared" si="60"/>
        <v>0</v>
      </c>
      <c r="AQ93" s="234">
        <f t="shared" si="61"/>
        <v>0</v>
      </c>
      <c r="AR93" s="32">
        <f t="shared" si="62"/>
        <v>0</v>
      </c>
      <c r="AS93" s="234">
        <f t="shared" si="63"/>
        <v>0</v>
      </c>
      <c r="AT93" s="32">
        <f t="shared" si="64"/>
        <v>0</v>
      </c>
      <c r="AU93" s="32">
        <f t="shared" si="65"/>
        <v>0</v>
      </c>
      <c r="AV93" s="32">
        <f t="shared" si="66"/>
        <v>0</v>
      </c>
      <c r="AW93" s="234">
        <f t="shared" si="67"/>
        <v>0</v>
      </c>
      <c r="AX93" s="226">
        <f t="shared" si="68"/>
        <v>0</v>
      </c>
      <c r="AY93" s="234">
        <f t="shared" si="69"/>
        <v>0</v>
      </c>
      <c r="AZ93" s="32">
        <f t="shared" si="70"/>
        <v>0.125</v>
      </c>
      <c r="BA93" s="234">
        <f t="shared" si="71"/>
        <v>0.125</v>
      </c>
      <c r="BB93" s="32">
        <f t="shared" si="72"/>
        <v>0</v>
      </c>
      <c r="BC93" s="234">
        <f t="shared" si="73"/>
        <v>0</v>
      </c>
      <c r="BD93" s="32">
        <f t="shared" si="74"/>
        <v>0</v>
      </c>
      <c r="BE93" s="234">
        <f t="shared" si="75"/>
        <v>0</v>
      </c>
      <c r="BF93" s="32">
        <f t="shared" si="76"/>
        <v>0</v>
      </c>
      <c r="BG93" s="234">
        <f t="shared" si="77"/>
        <v>0</v>
      </c>
      <c r="BH93" s="32">
        <f t="shared" si="78"/>
        <v>0</v>
      </c>
      <c r="BI93" s="32">
        <f t="shared" si="79"/>
        <v>0</v>
      </c>
      <c r="BJ93" s="234">
        <f t="shared" si="80"/>
        <v>0</v>
      </c>
      <c r="BK93" s="32">
        <f t="shared" si="81"/>
        <v>0</v>
      </c>
      <c r="BL93" s="234">
        <f t="shared" si="82"/>
        <v>0</v>
      </c>
    </row>
    <row r="94" spans="1:64" x14ac:dyDescent="0.25">
      <c r="A94" s="221" t="s">
        <v>572</v>
      </c>
      <c r="B94" s="26" t="str">
        <f>VLOOKUP(A94,kurspris!$A$1:$B$304,2,FALSE)</f>
        <v>Matematik 2 för lärande och undervisning för förskoleklass och grundskolans årskurs 1-3</v>
      </c>
      <c r="C94" s="56"/>
      <c r="D94" s="32" t="s">
        <v>74</v>
      </c>
      <c r="E94" s="59" t="s">
        <v>925</v>
      </c>
      <c r="F94" s="59" t="s">
        <v>933</v>
      </c>
      <c r="G94" s="59" t="s">
        <v>934</v>
      </c>
      <c r="H94" s="59"/>
      <c r="K94" s="37"/>
      <c r="L94" s="32">
        <v>50</v>
      </c>
      <c r="M94" s="32">
        <v>15</v>
      </c>
      <c r="N94" s="32">
        <v>8</v>
      </c>
      <c r="O94" s="234">
        <f t="shared" si="55"/>
        <v>2</v>
      </c>
      <c r="P94" s="39">
        <v>1</v>
      </c>
      <c r="Q94" s="234">
        <f t="shared" si="56"/>
        <v>2</v>
      </c>
      <c r="R94" s="32">
        <f>VLOOKUP(A94,'Ansvar kurs'!$A$1:$C$399,2,FALSE)</f>
        <v>5740</v>
      </c>
      <c r="S94" s="32" t="str">
        <f>VLOOKUP(R94,Orgenheter!$A$1:$C$166,2,FALSE)</f>
        <v>NMD</v>
      </c>
      <c r="T94" s="32" t="str">
        <f>VLOOKUP(R94,Orgenheter!$A$1:$C$166,3,FALSE)</f>
        <v>TekNat</v>
      </c>
      <c r="U94" s="37" t="str">
        <f>VLOOKUP(D94,Program!$A$1:$B$34,2,FALSE)</f>
        <v>VAL-projektet</v>
      </c>
      <c r="V94" s="41">
        <f>VLOOKUP(A94,kurspris!$A$1:$Q$225,15,FALSE)</f>
        <v>19863</v>
      </c>
      <c r="W94" s="41">
        <f>VLOOKUP(A94,kurspris!$A$1:$Q$225,16,FALSE)</f>
        <v>35472</v>
      </c>
      <c r="X94" s="41">
        <f t="shared" si="57"/>
        <v>110670</v>
      </c>
      <c r="Y94" s="41">
        <f>VLOOKUP(A94,kurspris!$A$1:$Q$225,17,FALSE)</f>
        <v>22200</v>
      </c>
      <c r="Z94" s="41">
        <f t="shared" si="58"/>
        <v>44400</v>
      </c>
      <c r="AA94" s="41">
        <f t="shared" si="59"/>
        <v>155070</v>
      </c>
      <c r="AB94" s="32">
        <f>VLOOKUP($A94,kurspris!$A$1:$Q$262,3,FALSE)</f>
        <v>0</v>
      </c>
      <c r="AC94" s="32">
        <f>VLOOKUP($A94,kurspris!$A$1:$Q$262,4,FALSE)</f>
        <v>0</v>
      </c>
      <c r="AD94" s="32">
        <f>VLOOKUP($A94,kurspris!$A$1:$Q$262,5,FALSE)</f>
        <v>0</v>
      </c>
      <c r="AE94" s="32">
        <f>VLOOKUP($A94,kurspris!$A$1:$Q$262,6,FALSE)</f>
        <v>0</v>
      </c>
      <c r="AF94" s="32">
        <f>VLOOKUP($A94,kurspris!$A$1:$Q$262,7,FALSE)</f>
        <v>0</v>
      </c>
      <c r="AG94" s="32">
        <f>VLOOKUP($A94,kurspris!$A$1:$Q$262,8,FALSE)</f>
        <v>1</v>
      </c>
      <c r="AH94" s="32">
        <f>VLOOKUP($A94,kurspris!$A$1:$Q$262,9,FALSE)</f>
        <v>0</v>
      </c>
      <c r="AI94" s="32">
        <f>VLOOKUP($A94,kurspris!$A$1:$Q$262,10,FALSE)</f>
        <v>0</v>
      </c>
      <c r="AJ94" s="32">
        <f>VLOOKUP($A94,kurspris!$A$1:$Q$262,11,FALSE)</f>
        <v>0</v>
      </c>
      <c r="AK94" s="32">
        <f>VLOOKUP($A94,kurspris!$A$1:$Q$262,12,FALSE)</f>
        <v>0</v>
      </c>
      <c r="AL94" s="32">
        <f>VLOOKUP($A94,kurspris!$A$1:$Q$262,13,FALSE)</f>
        <v>0</v>
      </c>
      <c r="AM94" s="32">
        <f>VLOOKUP($A94,kurspris!$A$1:$Q$262,14,FALSE)</f>
        <v>0</v>
      </c>
      <c r="AN94" s="38" t="s">
        <v>946</v>
      </c>
      <c r="AO94"/>
      <c r="AP94" s="32">
        <f t="shared" si="60"/>
        <v>0</v>
      </c>
      <c r="AQ94" s="234">
        <f t="shared" si="61"/>
        <v>0</v>
      </c>
      <c r="AR94" s="32">
        <f t="shared" si="62"/>
        <v>0</v>
      </c>
      <c r="AS94" s="234">
        <f t="shared" si="63"/>
        <v>0</v>
      </c>
      <c r="AT94" s="32">
        <f t="shared" si="64"/>
        <v>0</v>
      </c>
      <c r="AU94" s="32">
        <f t="shared" si="65"/>
        <v>0</v>
      </c>
      <c r="AV94" s="32">
        <f t="shared" si="66"/>
        <v>0</v>
      </c>
      <c r="AW94" s="234">
        <f t="shared" si="67"/>
        <v>0</v>
      </c>
      <c r="AX94" s="226">
        <f t="shared" si="68"/>
        <v>0</v>
      </c>
      <c r="AY94" s="234">
        <f t="shared" si="69"/>
        <v>0</v>
      </c>
      <c r="AZ94" s="32">
        <f t="shared" si="70"/>
        <v>2</v>
      </c>
      <c r="BA94" s="234">
        <f t="shared" si="71"/>
        <v>2</v>
      </c>
      <c r="BB94" s="32">
        <f t="shared" si="72"/>
        <v>0</v>
      </c>
      <c r="BC94" s="234">
        <f t="shared" si="73"/>
        <v>0</v>
      </c>
      <c r="BD94" s="32">
        <f t="shared" si="74"/>
        <v>0</v>
      </c>
      <c r="BE94" s="234">
        <f t="shared" si="75"/>
        <v>0</v>
      </c>
      <c r="BF94" s="32">
        <f t="shared" si="76"/>
        <v>0</v>
      </c>
      <c r="BG94" s="234">
        <f t="shared" si="77"/>
        <v>0</v>
      </c>
      <c r="BH94" s="32">
        <f t="shared" si="78"/>
        <v>0</v>
      </c>
      <c r="BI94" s="32">
        <f t="shared" si="79"/>
        <v>0</v>
      </c>
      <c r="BJ94" s="234">
        <f t="shared" si="80"/>
        <v>0</v>
      </c>
      <c r="BK94" s="32">
        <f t="shared" si="81"/>
        <v>0</v>
      </c>
      <c r="BL94" s="234">
        <f t="shared" si="82"/>
        <v>0</v>
      </c>
    </row>
    <row r="95" spans="1:64" x14ac:dyDescent="0.25">
      <c r="A95" s="162" t="s">
        <v>573</v>
      </c>
      <c r="B95" s="26" t="str">
        <f>VLOOKUP(A95,kurspris!$A$1:$B$304,2,FALSE)</f>
        <v>Matematik 2 för lärande och undervisning för grundskolans årskurs 4-6</v>
      </c>
      <c r="C95" s="56"/>
      <c r="D95" s="32" t="s">
        <v>74</v>
      </c>
      <c r="E95" s="59" t="s">
        <v>925</v>
      </c>
      <c r="F95" s="59" t="s">
        <v>933</v>
      </c>
      <c r="G95" s="32" t="s">
        <v>934</v>
      </c>
      <c r="H95" s="59"/>
      <c r="K95" s="37"/>
      <c r="L95" s="32">
        <v>50</v>
      </c>
      <c r="M95" s="32">
        <v>15</v>
      </c>
      <c r="N95" s="32">
        <v>3</v>
      </c>
      <c r="O95" s="234">
        <f t="shared" si="55"/>
        <v>0.75</v>
      </c>
      <c r="P95" s="39">
        <v>1</v>
      </c>
      <c r="Q95" s="234">
        <f t="shared" si="56"/>
        <v>0.75</v>
      </c>
      <c r="R95" s="32">
        <f>VLOOKUP(A95,'Ansvar kurs'!$A$1:$C$399,2,FALSE)</f>
        <v>5740</v>
      </c>
      <c r="S95" s="32" t="str">
        <f>VLOOKUP(R95,Orgenheter!$A$1:$C$166,2,FALSE)</f>
        <v>NMD</v>
      </c>
      <c r="T95" s="32" t="str">
        <f>VLOOKUP(R95,Orgenheter!$A$1:$C$166,3,FALSE)</f>
        <v>TekNat</v>
      </c>
      <c r="U95" s="37" t="str">
        <f>VLOOKUP(D95,Program!$A$1:$B$34,2,FALSE)</f>
        <v>VAL-projektet</v>
      </c>
      <c r="V95" s="41">
        <f>VLOOKUP(A95,kurspris!$A$1:$Q$225,15,FALSE)</f>
        <v>19863</v>
      </c>
      <c r="W95" s="41">
        <f>VLOOKUP(A95,kurspris!$A$1:$Q$225,16,FALSE)</f>
        <v>35472</v>
      </c>
      <c r="X95" s="41">
        <f t="shared" si="57"/>
        <v>41501.25</v>
      </c>
      <c r="Y95" s="41">
        <f>VLOOKUP(A95,kurspris!$A$1:$Q$225,17,FALSE)</f>
        <v>22200</v>
      </c>
      <c r="Z95" s="41">
        <f t="shared" si="58"/>
        <v>16650</v>
      </c>
      <c r="AA95" s="41">
        <f t="shared" si="59"/>
        <v>58151.25</v>
      </c>
      <c r="AB95" s="32">
        <f>VLOOKUP($A95,kurspris!$A$1:$Q$262,3,FALSE)</f>
        <v>0</v>
      </c>
      <c r="AC95" s="32">
        <f>VLOOKUP($A95,kurspris!$A$1:$Q$262,4,FALSE)</f>
        <v>0</v>
      </c>
      <c r="AD95" s="32">
        <f>VLOOKUP($A95,kurspris!$A$1:$Q$262,5,FALSE)</f>
        <v>0</v>
      </c>
      <c r="AE95" s="32">
        <f>VLOOKUP($A95,kurspris!$A$1:$Q$262,6,FALSE)</f>
        <v>0</v>
      </c>
      <c r="AF95" s="32">
        <f>VLOOKUP($A95,kurspris!$A$1:$Q$262,7,FALSE)</f>
        <v>0</v>
      </c>
      <c r="AG95" s="32">
        <f>VLOOKUP($A95,kurspris!$A$1:$Q$262,8,FALSE)</f>
        <v>1</v>
      </c>
      <c r="AH95" s="32">
        <f>VLOOKUP($A95,kurspris!$A$1:$Q$262,9,FALSE)</f>
        <v>0</v>
      </c>
      <c r="AI95" s="32">
        <f>VLOOKUP($A95,kurspris!$A$1:$Q$262,10,FALSE)</f>
        <v>0</v>
      </c>
      <c r="AJ95" s="32">
        <f>VLOOKUP($A95,kurspris!$A$1:$Q$262,11,FALSE)</f>
        <v>0</v>
      </c>
      <c r="AK95" s="32">
        <f>VLOOKUP($A95,kurspris!$A$1:$Q$262,12,FALSE)</f>
        <v>0</v>
      </c>
      <c r="AL95" s="32">
        <f>VLOOKUP($A95,kurspris!$A$1:$Q$262,13,FALSE)</f>
        <v>0</v>
      </c>
      <c r="AM95" s="32">
        <f>VLOOKUP($A95,kurspris!$A$1:$Q$262,14,FALSE)</f>
        <v>0</v>
      </c>
      <c r="AN95" s="38" t="s">
        <v>946</v>
      </c>
      <c r="AO95"/>
      <c r="AP95" s="32">
        <f t="shared" si="60"/>
        <v>0</v>
      </c>
      <c r="AQ95" s="234">
        <f t="shared" si="61"/>
        <v>0</v>
      </c>
      <c r="AR95" s="32">
        <f t="shared" si="62"/>
        <v>0</v>
      </c>
      <c r="AS95" s="234">
        <f t="shared" si="63"/>
        <v>0</v>
      </c>
      <c r="AT95" s="32">
        <f t="shared" si="64"/>
        <v>0</v>
      </c>
      <c r="AU95" s="32">
        <f t="shared" si="65"/>
        <v>0</v>
      </c>
      <c r="AV95" s="32">
        <f t="shared" si="66"/>
        <v>0</v>
      </c>
      <c r="AW95" s="234">
        <f t="shared" si="67"/>
        <v>0</v>
      </c>
      <c r="AX95" s="226">
        <f t="shared" si="68"/>
        <v>0</v>
      </c>
      <c r="AY95" s="234">
        <f t="shared" si="69"/>
        <v>0</v>
      </c>
      <c r="AZ95" s="32">
        <f t="shared" si="70"/>
        <v>0.75</v>
      </c>
      <c r="BA95" s="234">
        <f t="shared" si="71"/>
        <v>0.75</v>
      </c>
      <c r="BB95" s="32">
        <f t="shared" si="72"/>
        <v>0</v>
      </c>
      <c r="BC95" s="234">
        <f t="shared" si="73"/>
        <v>0</v>
      </c>
      <c r="BD95" s="32">
        <f t="shared" si="74"/>
        <v>0</v>
      </c>
      <c r="BE95" s="234">
        <f t="shared" si="75"/>
        <v>0</v>
      </c>
      <c r="BF95" s="32">
        <f t="shared" si="76"/>
        <v>0</v>
      </c>
      <c r="BG95" s="234">
        <f t="shared" si="77"/>
        <v>0</v>
      </c>
      <c r="BH95" s="32">
        <f t="shared" si="78"/>
        <v>0</v>
      </c>
      <c r="BI95" s="32">
        <f t="shared" si="79"/>
        <v>0</v>
      </c>
      <c r="BJ95" s="234">
        <f t="shared" si="80"/>
        <v>0</v>
      </c>
      <c r="BK95" s="32">
        <f t="shared" si="81"/>
        <v>0</v>
      </c>
      <c r="BL95" s="234">
        <f t="shared" si="82"/>
        <v>0</v>
      </c>
    </row>
    <row r="96" spans="1:64" x14ac:dyDescent="0.25">
      <c r="A96" s="221" t="s">
        <v>816</v>
      </c>
      <c r="B96" s="26" t="str">
        <f>VLOOKUP(A96,kurspris!$A$1:$B$304,2,FALSE)</f>
        <v>Musik 2, distans</v>
      </c>
      <c r="C96" s="56"/>
      <c r="D96" s="32" t="s">
        <v>74</v>
      </c>
      <c r="E96" s="59" t="s">
        <v>925</v>
      </c>
      <c r="F96" s="59" t="s">
        <v>933</v>
      </c>
      <c r="G96" s="59" t="s">
        <v>935</v>
      </c>
      <c r="H96" s="59"/>
      <c r="J96" s="59"/>
      <c r="K96" s="37"/>
      <c r="L96" s="32">
        <v>50</v>
      </c>
      <c r="M96" s="418">
        <v>15</v>
      </c>
      <c r="N96" s="32">
        <v>2</v>
      </c>
      <c r="O96" s="234">
        <f t="shared" si="55"/>
        <v>0.5</v>
      </c>
      <c r="P96" s="39">
        <v>1</v>
      </c>
      <c r="Q96" s="234">
        <f t="shared" si="56"/>
        <v>0.5</v>
      </c>
      <c r="R96" s="32">
        <f>VLOOKUP(A96,'Ansvar kurs'!$A$1:$C$399,2,FALSE)</f>
        <v>1650</v>
      </c>
      <c r="S96" s="32" t="str">
        <f>VLOOKUP(R96,Orgenheter!$A$1:$C$166,2,FALSE)</f>
        <v xml:space="preserve">Estetiska ämnen               </v>
      </c>
      <c r="T96" s="32" t="str">
        <f>VLOOKUP(R96,Orgenheter!$A$1:$C$166,3,FALSE)</f>
        <v>Hum</v>
      </c>
      <c r="U96" s="37" t="str">
        <f>VLOOKUP(D96,Program!$A$1:$B$34,2,FALSE)</f>
        <v>VAL-projektet</v>
      </c>
      <c r="V96" s="41">
        <f>VLOOKUP(A96,kurspris!$A$1:$Q$225,15,FALSE)</f>
        <v>31433</v>
      </c>
      <c r="W96" s="41">
        <f>VLOOKUP(A96,kurspris!$A$1:$Q$225,16,FALSE)</f>
        <v>65018</v>
      </c>
      <c r="X96" s="41">
        <f t="shared" si="57"/>
        <v>48225.5</v>
      </c>
      <c r="Y96" s="41">
        <f>VLOOKUP(A96,kurspris!$A$1:$Q$225,17,FALSE)</f>
        <v>71400</v>
      </c>
      <c r="Z96" s="41">
        <f t="shared" si="58"/>
        <v>35700</v>
      </c>
      <c r="AA96" s="41">
        <f t="shared" si="59"/>
        <v>83925.5</v>
      </c>
      <c r="AB96" s="32">
        <f>VLOOKUP($A96,kurspris!$A$1:$Q$262,3,FALSE)</f>
        <v>0</v>
      </c>
      <c r="AC96" s="32">
        <f>VLOOKUP($A96,kurspris!$A$1:$Q$262,4,FALSE)</f>
        <v>0</v>
      </c>
      <c r="AD96" s="32">
        <f>VLOOKUP($A96,kurspris!$A$1:$Q$262,5,FALSE)</f>
        <v>0</v>
      </c>
      <c r="AE96" s="32">
        <f>VLOOKUP($A96,kurspris!$A$1:$Q$262,6,FALSE)</f>
        <v>0</v>
      </c>
      <c r="AF96" s="32">
        <f>VLOOKUP($A96,kurspris!$A$1:$Q$262,7,FALSE)</f>
        <v>1</v>
      </c>
      <c r="AG96" s="32">
        <f>VLOOKUP($A96,kurspris!$A$1:$Q$262,8,FALSE)</f>
        <v>0</v>
      </c>
      <c r="AH96" s="32">
        <f>VLOOKUP($A96,kurspris!$A$1:$Q$262,9,FALSE)</f>
        <v>0</v>
      </c>
      <c r="AI96" s="32">
        <f>VLOOKUP($A96,kurspris!$A$1:$Q$262,10,FALSE)</f>
        <v>0</v>
      </c>
      <c r="AJ96" s="32">
        <f>VLOOKUP($A96,kurspris!$A$1:$Q$262,11,FALSE)</f>
        <v>0</v>
      </c>
      <c r="AK96" s="32">
        <f>VLOOKUP($A96,kurspris!$A$1:$Q$262,12,FALSE)</f>
        <v>0</v>
      </c>
      <c r="AL96" s="32">
        <f>VLOOKUP($A96,kurspris!$A$1:$Q$262,13,FALSE)</f>
        <v>0</v>
      </c>
      <c r="AM96" s="32">
        <f>VLOOKUP($A96,kurspris!$A$1:$Q$262,14,FALSE)</f>
        <v>0</v>
      </c>
      <c r="AN96" s="38" t="s">
        <v>946</v>
      </c>
      <c r="AO96" t="s">
        <v>947</v>
      </c>
      <c r="AP96" s="32">
        <f t="shared" si="60"/>
        <v>0</v>
      </c>
      <c r="AQ96" s="234">
        <f t="shared" si="61"/>
        <v>0</v>
      </c>
      <c r="AR96" s="32">
        <f t="shared" si="62"/>
        <v>0</v>
      </c>
      <c r="AS96" s="234">
        <f t="shared" si="63"/>
        <v>0</v>
      </c>
      <c r="AT96" s="32">
        <f t="shared" si="64"/>
        <v>0</v>
      </c>
      <c r="AU96" s="32">
        <f t="shared" si="65"/>
        <v>0</v>
      </c>
      <c r="AV96" s="32">
        <f t="shared" si="66"/>
        <v>0</v>
      </c>
      <c r="AW96" s="234">
        <f t="shared" si="67"/>
        <v>0</v>
      </c>
      <c r="AX96" s="226">
        <f t="shared" si="68"/>
        <v>0.5</v>
      </c>
      <c r="AY96" s="234">
        <f t="shared" si="69"/>
        <v>0.5</v>
      </c>
      <c r="AZ96" s="32">
        <f t="shared" si="70"/>
        <v>0</v>
      </c>
      <c r="BA96" s="234">
        <f t="shared" si="71"/>
        <v>0</v>
      </c>
      <c r="BB96" s="32">
        <f t="shared" si="72"/>
        <v>0</v>
      </c>
      <c r="BC96" s="234">
        <f t="shared" si="73"/>
        <v>0</v>
      </c>
      <c r="BD96" s="32">
        <f t="shared" si="74"/>
        <v>0</v>
      </c>
      <c r="BE96" s="234">
        <f t="shared" si="75"/>
        <v>0</v>
      </c>
      <c r="BF96" s="32">
        <f t="shared" si="76"/>
        <v>0</v>
      </c>
      <c r="BG96" s="234">
        <f t="shared" si="77"/>
        <v>0</v>
      </c>
      <c r="BH96" s="32">
        <f t="shared" si="78"/>
        <v>0</v>
      </c>
      <c r="BI96" s="32">
        <f t="shared" si="79"/>
        <v>0</v>
      </c>
      <c r="BJ96" s="234">
        <f t="shared" si="80"/>
        <v>0</v>
      </c>
      <c r="BK96" s="32">
        <f t="shared" si="81"/>
        <v>0</v>
      </c>
      <c r="BL96" s="234">
        <f t="shared" si="82"/>
        <v>0</v>
      </c>
    </row>
    <row r="97" spans="1:64" x14ac:dyDescent="0.25">
      <c r="A97" s="221" t="s">
        <v>817</v>
      </c>
      <c r="B97" s="26" t="str">
        <f>VLOOKUP(A97,kurspris!$A$1:$B$304,2,FALSE)</f>
        <v>Musik 3, distans</v>
      </c>
      <c r="C97" s="56"/>
      <c r="D97" s="32" t="s">
        <v>74</v>
      </c>
      <c r="E97" s="59" t="s">
        <v>928</v>
      </c>
      <c r="F97" s="59" t="s">
        <v>933</v>
      </c>
      <c r="G97" s="59" t="s">
        <v>935</v>
      </c>
      <c r="H97" s="59"/>
      <c r="J97" s="59"/>
      <c r="K97" s="37"/>
      <c r="L97" s="32">
        <v>50</v>
      </c>
      <c r="M97" s="418">
        <v>15</v>
      </c>
      <c r="N97" s="32">
        <v>1</v>
      </c>
      <c r="O97" s="234">
        <f t="shared" si="55"/>
        <v>0.25</v>
      </c>
      <c r="P97" s="39">
        <v>1</v>
      </c>
      <c r="Q97" s="234">
        <f t="shared" si="56"/>
        <v>0.25</v>
      </c>
      <c r="R97" s="32">
        <f>VLOOKUP(A97,'Ansvar kurs'!$A$1:$C$399,2,FALSE)</f>
        <v>1650</v>
      </c>
      <c r="S97" s="32" t="str">
        <f>VLOOKUP(R97,Orgenheter!$A$1:$C$166,2,FALSE)</f>
        <v xml:space="preserve">Estetiska ämnen               </v>
      </c>
      <c r="T97" s="32" t="str">
        <f>VLOOKUP(R97,Orgenheter!$A$1:$C$166,3,FALSE)</f>
        <v>Hum</v>
      </c>
      <c r="U97" s="37" t="str">
        <f>VLOOKUP(D97,Program!$A$1:$B$34,2,FALSE)</f>
        <v>VAL-projektet</v>
      </c>
      <c r="V97" s="41">
        <f>VLOOKUP(A97,kurspris!$A$1:$Q$225,15,FALSE)</f>
        <v>31433</v>
      </c>
      <c r="W97" s="41">
        <f>VLOOKUP(A97,kurspris!$A$1:$Q$225,16,FALSE)</f>
        <v>65018</v>
      </c>
      <c r="X97" s="41">
        <f t="shared" si="57"/>
        <v>24112.75</v>
      </c>
      <c r="Y97" s="41">
        <f>VLOOKUP(A97,kurspris!$A$1:$Q$225,17,FALSE)</f>
        <v>71400</v>
      </c>
      <c r="Z97" s="41">
        <f t="shared" si="58"/>
        <v>17850</v>
      </c>
      <c r="AA97" s="41">
        <f t="shared" si="59"/>
        <v>41962.75</v>
      </c>
      <c r="AB97" s="32">
        <f>VLOOKUP($A97,kurspris!$A$1:$Q$262,3,FALSE)</f>
        <v>0</v>
      </c>
      <c r="AC97" s="32">
        <f>VLOOKUP($A97,kurspris!$A$1:$Q$262,4,FALSE)</f>
        <v>0</v>
      </c>
      <c r="AD97" s="32">
        <f>VLOOKUP($A97,kurspris!$A$1:$Q$262,5,FALSE)</f>
        <v>0</v>
      </c>
      <c r="AE97" s="32">
        <f>VLOOKUP($A97,kurspris!$A$1:$Q$262,6,FALSE)</f>
        <v>0</v>
      </c>
      <c r="AF97" s="32">
        <f>VLOOKUP($A97,kurspris!$A$1:$Q$262,7,FALSE)</f>
        <v>1</v>
      </c>
      <c r="AG97" s="32">
        <f>VLOOKUP($A97,kurspris!$A$1:$Q$262,8,FALSE)</f>
        <v>0</v>
      </c>
      <c r="AH97" s="32">
        <f>VLOOKUP($A97,kurspris!$A$1:$Q$262,9,FALSE)</f>
        <v>0</v>
      </c>
      <c r="AI97" s="32">
        <f>VLOOKUP($A97,kurspris!$A$1:$Q$262,10,FALSE)</f>
        <v>0</v>
      </c>
      <c r="AJ97" s="32">
        <f>VLOOKUP($A97,kurspris!$A$1:$Q$262,11,FALSE)</f>
        <v>0</v>
      </c>
      <c r="AK97" s="32">
        <f>VLOOKUP($A97,kurspris!$A$1:$Q$262,12,FALSE)</f>
        <v>0</v>
      </c>
      <c r="AL97" s="32">
        <f>VLOOKUP($A97,kurspris!$A$1:$Q$262,13,FALSE)</f>
        <v>0</v>
      </c>
      <c r="AM97" s="32">
        <f>VLOOKUP($A97,kurspris!$A$1:$Q$262,14,FALSE)</f>
        <v>0</v>
      </c>
      <c r="AN97" s="38" t="s">
        <v>946</v>
      </c>
      <c r="AO97" t="s">
        <v>947</v>
      </c>
      <c r="AP97" s="32">
        <f t="shared" si="60"/>
        <v>0</v>
      </c>
      <c r="AQ97" s="234">
        <f t="shared" si="61"/>
        <v>0</v>
      </c>
      <c r="AR97" s="32">
        <f t="shared" si="62"/>
        <v>0</v>
      </c>
      <c r="AS97" s="234">
        <f t="shared" si="63"/>
        <v>0</v>
      </c>
      <c r="AT97" s="32">
        <f t="shared" si="64"/>
        <v>0</v>
      </c>
      <c r="AU97" s="32">
        <f t="shared" si="65"/>
        <v>0</v>
      </c>
      <c r="AV97" s="32">
        <f t="shared" si="66"/>
        <v>0</v>
      </c>
      <c r="AW97" s="234">
        <f t="shared" si="67"/>
        <v>0</v>
      </c>
      <c r="AX97" s="226">
        <f t="shared" si="68"/>
        <v>0.25</v>
      </c>
      <c r="AY97" s="234">
        <f t="shared" si="69"/>
        <v>0.25</v>
      </c>
      <c r="AZ97" s="32">
        <f t="shared" si="70"/>
        <v>0</v>
      </c>
      <c r="BA97" s="234">
        <f t="shared" si="71"/>
        <v>0</v>
      </c>
      <c r="BB97" s="32">
        <f t="shared" si="72"/>
        <v>0</v>
      </c>
      <c r="BC97" s="234">
        <f t="shared" si="73"/>
        <v>0</v>
      </c>
      <c r="BD97" s="32">
        <f t="shared" si="74"/>
        <v>0</v>
      </c>
      <c r="BE97" s="234">
        <f t="shared" si="75"/>
        <v>0</v>
      </c>
      <c r="BF97" s="32">
        <f t="shared" si="76"/>
        <v>0</v>
      </c>
      <c r="BG97" s="234">
        <f t="shared" si="77"/>
        <v>0</v>
      </c>
      <c r="BH97" s="32">
        <f t="shared" si="78"/>
        <v>0</v>
      </c>
      <c r="BI97" s="32">
        <f t="shared" si="79"/>
        <v>0</v>
      </c>
      <c r="BJ97" s="234">
        <f t="shared" si="80"/>
        <v>0</v>
      </c>
      <c r="BK97" s="32">
        <f t="shared" si="81"/>
        <v>0</v>
      </c>
      <c r="BL97" s="234">
        <f t="shared" si="82"/>
        <v>0</v>
      </c>
    </row>
    <row r="98" spans="1:64" x14ac:dyDescent="0.25">
      <c r="A98" s="162" t="s">
        <v>817</v>
      </c>
      <c r="B98" s="26" t="str">
        <f>VLOOKUP(A98,kurspris!$A$1:$B$304,2,FALSE)</f>
        <v>Musik 3, distans</v>
      </c>
      <c r="C98" s="351"/>
      <c r="D98" s="32" t="s">
        <v>74</v>
      </c>
      <c r="E98" s="59" t="s">
        <v>929</v>
      </c>
      <c r="F98" s="59" t="s">
        <v>933</v>
      </c>
      <c r="G98" s="32" t="s">
        <v>935</v>
      </c>
      <c r="H98" s="59"/>
      <c r="K98" s="37"/>
      <c r="L98" s="32">
        <v>50</v>
      </c>
      <c r="M98" s="418">
        <v>15</v>
      </c>
      <c r="N98" s="32">
        <v>1</v>
      </c>
      <c r="O98" s="234">
        <f t="shared" ref="O98:O129" si="83">N98*M98/60</f>
        <v>0.25</v>
      </c>
      <c r="P98" s="39">
        <v>1</v>
      </c>
      <c r="Q98" s="234">
        <f t="shared" ref="Q98:Q129" si="84">O98*P98</f>
        <v>0.25</v>
      </c>
      <c r="R98" s="32">
        <f>VLOOKUP(A98,'Ansvar kurs'!$A$1:$C$399,2,FALSE)</f>
        <v>1650</v>
      </c>
      <c r="S98" s="32" t="str">
        <f>VLOOKUP(R98,Orgenheter!$A$1:$C$166,2,FALSE)</f>
        <v xml:space="preserve">Estetiska ämnen               </v>
      </c>
      <c r="T98" s="32" t="str">
        <f>VLOOKUP(R98,Orgenheter!$A$1:$C$166,3,FALSE)</f>
        <v>Hum</v>
      </c>
      <c r="U98" s="37" t="str">
        <f>VLOOKUP(D98,Program!$A$1:$B$34,2,FALSE)</f>
        <v>VAL-projektet</v>
      </c>
      <c r="V98" s="41">
        <f>VLOOKUP(A98,kurspris!$A$1:$Q$225,15,FALSE)</f>
        <v>31433</v>
      </c>
      <c r="W98" s="41">
        <f>VLOOKUP(A98,kurspris!$A$1:$Q$225,16,FALSE)</f>
        <v>65018</v>
      </c>
      <c r="X98" s="41">
        <f t="shared" ref="X98:X129" si="85">V98*O98+Q98*W98</f>
        <v>24112.75</v>
      </c>
      <c r="Y98" s="41">
        <f>VLOOKUP(A98,kurspris!$A$1:$Q$225,17,FALSE)</f>
        <v>71400</v>
      </c>
      <c r="Z98" s="41">
        <f t="shared" ref="Z98:Z129" si="86">Y98*O98</f>
        <v>17850</v>
      </c>
      <c r="AA98" s="41">
        <f t="shared" ref="AA98:AA129" si="87">X98+Z98</f>
        <v>41962.75</v>
      </c>
      <c r="AB98" s="32">
        <f>VLOOKUP($A98,kurspris!$A$1:$Q$262,3,FALSE)</f>
        <v>0</v>
      </c>
      <c r="AC98" s="32">
        <f>VLOOKUP($A98,kurspris!$A$1:$Q$262,4,FALSE)</f>
        <v>0</v>
      </c>
      <c r="AD98" s="32">
        <f>VLOOKUP($A98,kurspris!$A$1:$Q$262,5,FALSE)</f>
        <v>0</v>
      </c>
      <c r="AE98" s="32">
        <f>VLOOKUP($A98,kurspris!$A$1:$Q$262,6,FALSE)</f>
        <v>0</v>
      </c>
      <c r="AF98" s="32">
        <f>VLOOKUP($A98,kurspris!$A$1:$Q$262,7,FALSE)</f>
        <v>1</v>
      </c>
      <c r="AG98" s="32">
        <f>VLOOKUP($A98,kurspris!$A$1:$Q$262,8,FALSE)</f>
        <v>0</v>
      </c>
      <c r="AH98" s="32">
        <f>VLOOKUP($A98,kurspris!$A$1:$Q$262,9,FALSE)</f>
        <v>0</v>
      </c>
      <c r="AI98" s="32">
        <f>VLOOKUP($A98,kurspris!$A$1:$Q$262,10,FALSE)</f>
        <v>0</v>
      </c>
      <c r="AJ98" s="32">
        <f>VLOOKUP($A98,kurspris!$A$1:$Q$262,11,FALSE)</f>
        <v>0</v>
      </c>
      <c r="AK98" s="32">
        <f>VLOOKUP($A98,kurspris!$A$1:$Q$262,12,FALSE)</f>
        <v>0</v>
      </c>
      <c r="AL98" s="32">
        <f>VLOOKUP($A98,kurspris!$A$1:$Q$262,13,FALSE)</f>
        <v>0</v>
      </c>
      <c r="AM98" s="32">
        <f>VLOOKUP($A98,kurspris!$A$1:$Q$262,14,FALSE)</f>
        <v>0</v>
      </c>
      <c r="AN98" s="38" t="s">
        <v>946</v>
      </c>
      <c r="AO98" t="s">
        <v>947</v>
      </c>
      <c r="AP98" s="32">
        <f t="shared" ref="AP98:AP129" si="88">$O98*AB98</f>
        <v>0</v>
      </c>
      <c r="AQ98" s="234">
        <f t="shared" ref="AQ98:AQ129" si="89">$Q98*AB98</f>
        <v>0</v>
      </c>
      <c r="AR98" s="32">
        <f t="shared" ref="AR98:AR129" si="90">$O98*AC98</f>
        <v>0</v>
      </c>
      <c r="AS98" s="234">
        <f t="shared" ref="AS98:AS129" si="91">$Q98*AC98</f>
        <v>0</v>
      </c>
      <c r="AT98" s="32">
        <f t="shared" ref="AT98:AT129" si="92">$O98*AD98</f>
        <v>0</v>
      </c>
      <c r="AU98" s="32">
        <f t="shared" ref="AU98:AU129" si="93">$Q98*AD98</f>
        <v>0</v>
      </c>
      <c r="AV98" s="32">
        <f t="shared" ref="AV98:AV129" si="94">$O98*AE98</f>
        <v>0</v>
      </c>
      <c r="AW98" s="234">
        <f t="shared" ref="AW98:AW129" si="95">$Q98*AE98</f>
        <v>0</v>
      </c>
      <c r="AX98" s="226">
        <f t="shared" ref="AX98:AX129" si="96">$O98*AF98</f>
        <v>0.25</v>
      </c>
      <c r="AY98" s="234">
        <f t="shared" ref="AY98:AY129" si="97">$Q98*AF98</f>
        <v>0.25</v>
      </c>
      <c r="AZ98" s="32">
        <f t="shared" ref="AZ98:AZ129" si="98">$O98*AG98</f>
        <v>0</v>
      </c>
      <c r="BA98" s="234">
        <f t="shared" ref="BA98:BA129" si="99">$Q98*AG98</f>
        <v>0</v>
      </c>
      <c r="BB98" s="32">
        <f t="shared" ref="BB98:BB129" si="100">$O98*AH98</f>
        <v>0</v>
      </c>
      <c r="BC98" s="234">
        <f t="shared" ref="BC98:BC129" si="101">$Q98*AH98</f>
        <v>0</v>
      </c>
      <c r="BD98" s="32">
        <f t="shared" ref="BD98:BD129" si="102">$O98*AI98</f>
        <v>0</v>
      </c>
      <c r="BE98" s="234">
        <f t="shared" ref="BE98:BE129" si="103">$Q98*AI98</f>
        <v>0</v>
      </c>
      <c r="BF98" s="32">
        <f t="shared" ref="BF98:BF129" si="104">$O98*AJ98</f>
        <v>0</v>
      </c>
      <c r="BG98" s="234">
        <f t="shared" ref="BG98:BG129" si="105">$Q98*AJ98</f>
        <v>0</v>
      </c>
      <c r="BH98" s="32">
        <f t="shared" ref="BH98:BH129" si="106">$O98*AK98</f>
        <v>0</v>
      </c>
      <c r="BI98" s="32">
        <f t="shared" ref="BI98:BI129" si="107">$O98*AL98</f>
        <v>0</v>
      </c>
      <c r="BJ98" s="234">
        <f t="shared" ref="BJ98:BJ129" si="108">$Q98*AL98</f>
        <v>0</v>
      </c>
      <c r="BK98" s="32">
        <f t="shared" ref="BK98:BK129" si="109">$O98*AM98</f>
        <v>0</v>
      </c>
      <c r="BL98" s="234">
        <f t="shared" ref="BL98:BL129" si="110">$Q98*AM98</f>
        <v>0</v>
      </c>
    </row>
    <row r="99" spans="1:64" x14ac:dyDescent="0.25">
      <c r="A99" s="221" t="s">
        <v>817</v>
      </c>
      <c r="B99" s="26" t="str">
        <f>VLOOKUP(A99,kurspris!$A$1:$B$304,2,FALSE)</f>
        <v>Musik 3, distans</v>
      </c>
      <c r="C99" s="351"/>
      <c r="D99" s="32" t="s">
        <v>74</v>
      </c>
      <c r="E99" s="59" t="s">
        <v>925</v>
      </c>
      <c r="F99" s="59" t="s">
        <v>933</v>
      </c>
      <c r="G99" s="59" t="s">
        <v>935</v>
      </c>
      <c r="H99" s="59"/>
      <c r="K99" s="37"/>
      <c r="L99" s="32">
        <v>50</v>
      </c>
      <c r="M99" s="418">
        <v>15</v>
      </c>
      <c r="N99" s="32">
        <v>5</v>
      </c>
      <c r="O99" s="234">
        <f t="shared" si="83"/>
        <v>1.25</v>
      </c>
      <c r="P99" s="39">
        <v>1</v>
      </c>
      <c r="Q99" s="234">
        <f t="shared" si="84"/>
        <v>1.25</v>
      </c>
      <c r="R99" s="32">
        <f>VLOOKUP(A99,'Ansvar kurs'!$A$1:$C$399,2,FALSE)</f>
        <v>1650</v>
      </c>
      <c r="S99" s="32" t="str">
        <f>VLOOKUP(R99,Orgenheter!$A$1:$C$166,2,FALSE)</f>
        <v xml:space="preserve">Estetiska ämnen               </v>
      </c>
      <c r="T99" s="32" t="str">
        <f>VLOOKUP(R99,Orgenheter!$A$1:$C$166,3,FALSE)</f>
        <v>Hum</v>
      </c>
      <c r="U99" s="37" t="str">
        <f>VLOOKUP(D99,Program!$A$1:$B$34,2,FALSE)</f>
        <v>VAL-projektet</v>
      </c>
      <c r="V99" s="41">
        <f>VLOOKUP(A99,kurspris!$A$1:$Q$225,15,FALSE)</f>
        <v>31433</v>
      </c>
      <c r="W99" s="41">
        <f>VLOOKUP(A99,kurspris!$A$1:$Q$225,16,FALSE)</f>
        <v>65018</v>
      </c>
      <c r="X99" s="41">
        <f t="shared" si="85"/>
        <v>120563.75</v>
      </c>
      <c r="Y99" s="41">
        <f>VLOOKUP(A99,kurspris!$A$1:$Q$225,17,FALSE)</f>
        <v>71400</v>
      </c>
      <c r="Z99" s="41">
        <f t="shared" si="86"/>
        <v>89250</v>
      </c>
      <c r="AA99" s="41">
        <f t="shared" si="87"/>
        <v>209813.75</v>
      </c>
      <c r="AB99" s="32">
        <f>VLOOKUP($A99,kurspris!$A$1:$Q$262,3,FALSE)</f>
        <v>0</v>
      </c>
      <c r="AC99" s="32">
        <f>VLOOKUP($A99,kurspris!$A$1:$Q$262,4,FALSE)</f>
        <v>0</v>
      </c>
      <c r="AD99" s="32">
        <f>VLOOKUP($A99,kurspris!$A$1:$Q$262,5,FALSE)</f>
        <v>0</v>
      </c>
      <c r="AE99" s="32">
        <f>VLOOKUP($A99,kurspris!$A$1:$Q$262,6,FALSE)</f>
        <v>0</v>
      </c>
      <c r="AF99" s="32">
        <f>VLOOKUP($A99,kurspris!$A$1:$Q$262,7,FALSE)</f>
        <v>1</v>
      </c>
      <c r="AG99" s="32">
        <f>VLOOKUP($A99,kurspris!$A$1:$Q$262,8,FALSE)</f>
        <v>0</v>
      </c>
      <c r="AH99" s="32">
        <f>VLOOKUP($A99,kurspris!$A$1:$Q$262,9,FALSE)</f>
        <v>0</v>
      </c>
      <c r="AI99" s="32">
        <f>VLOOKUP($A99,kurspris!$A$1:$Q$262,10,FALSE)</f>
        <v>0</v>
      </c>
      <c r="AJ99" s="32">
        <f>VLOOKUP($A99,kurspris!$A$1:$Q$262,11,FALSE)</f>
        <v>0</v>
      </c>
      <c r="AK99" s="32">
        <f>VLOOKUP($A99,kurspris!$A$1:$Q$262,12,FALSE)</f>
        <v>0</v>
      </c>
      <c r="AL99" s="32">
        <f>VLOOKUP($A99,kurspris!$A$1:$Q$262,13,FALSE)</f>
        <v>0</v>
      </c>
      <c r="AM99" s="32">
        <f>VLOOKUP($A99,kurspris!$A$1:$Q$262,14,FALSE)</f>
        <v>0</v>
      </c>
      <c r="AN99" s="38" t="s">
        <v>946</v>
      </c>
      <c r="AO99" t="s">
        <v>947</v>
      </c>
      <c r="AP99" s="32">
        <f t="shared" si="88"/>
        <v>0</v>
      </c>
      <c r="AQ99" s="234">
        <f t="shared" si="89"/>
        <v>0</v>
      </c>
      <c r="AR99" s="32">
        <f t="shared" si="90"/>
        <v>0</v>
      </c>
      <c r="AS99" s="234">
        <f t="shared" si="91"/>
        <v>0</v>
      </c>
      <c r="AT99" s="32">
        <f t="shared" si="92"/>
        <v>0</v>
      </c>
      <c r="AU99" s="32">
        <f t="shared" si="93"/>
        <v>0</v>
      </c>
      <c r="AV99" s="32">
        <f t="shared" si="94"/>
        <v>0</v>
      </c>
      <c r="AW99" s="234">
        <f t="shared" si="95"/>
        <v>0</v>
      </c>
      <c r="AX99" s="226">
        <f t="shared" si="96"/>
        <v>1.25</v>
      </c>
      <c r="AY99" s="234">
        <f t="shared" si="97"/>
        <v>1.25</v>
      </c>
      <c r="AZ99" s="32">
        <f t="shared" si="98"/>
        <v>0</v>
      </c>
      <c r="BA99" s="234">
        <f t="shared" si="99"/>
        <v>0</v>
      </c>
      <c r="BB99" s="32">
        <f t="shared" si="100"/>
        <v>0</v>
      </c>
      <c r="BC99" s="234">
        <f t="shared" si="101"/>
        <v>0</v>
      </c>
      <c r="BD99" s="32">
        <f t="shared" si="102"/>
        <v>0</v>
      </c>
      <c r="BE99" s="234">
        <f t="shared" si="103"/>
        <v>0</v>
      </c>
      <c r="BF99" s="32">
        <f t="shared" si="104"/>
        <v>0</v>
      </c>
      <c r="BG99" s="234">
        <f t="shared" si="105"/>
        <v>0</v>
      </c>
      <c r="BH99" s="32">
        <f t="shared" si="106"/>
        <v>0</v>
      </c>
      <c r="BI99" s="32">
        <f t="shared" si="107"/>
        <v>0</v>
      </c>
      <c r="BJ99" s="234">
        <f t="shared" si="108"/>
        <v>0</v>
      </c>
      <c r="BK99" s="32">
        <f t="shared" si="109"/>
        <v>0</v>
      </c>
      <c r="BL99" s="234">
        <f t="shared" si="110"/>
        <v>0</v>
      </c>
    </row>
    <row r="100" spans="1:64" x14ac:dyDescent="0.25">
      <c r="A100" s="221" t="s">
        <v>817</v>
      </c>
      <c r="B100" s="26" t="str">
        <f>VLOOKUP(A100,kurspris!$A$1:$B$304,2,FALSE)</f>
        <v>Musik 3, distans</v>
      </c>
      <c r="C100" s="56"/>
      <c r="D100" s="32" t="s">
        <v>74</v>
      </c>
      <c r="E100" s="59" t="s">
        <v>930</v>
      </c>
      <c r="F100" s="59" t="s">
        <v>933</v>
      </c>
      <c r="G100" s="59" t="s">
        <v>935</v>
      </c>
      <c r="H100" s="59"/>
      <c r="J100" s="59"/>
      <c r="K100" s="37"/>
      <c r="L100" s="32">
        <v>50</v>
      </c>
      <c r="M100" s="418">
        <v>15</v>
      </c>
      <c r="N100" s="32">
        <v>1</v>
      </c>
      <c r="O100" s="234">
        <f t="shared" si="83"/>
        <v>0.25</v>
      </c>
      <c r="P100" s="39">
        <v>1</v>
      </c>
      <c r="Q100" s="234">
        <f t="shared" si="84"/>
        <v>0.25</v>
      </c>
      <c r="R100" s="32">
        <f>VLOOKUP(A100,'Ansvar kurs'!$A$1:$C$399,2,FALSE)</f>
        <v>1650</v>
      </c>
      <c r="S100" s="32" t="str">
        <f>VLOOKUP(R100,Orgenheter!$A$1:$C$166,2,FALSE)</f>
        <v xml:space="preserve">Estetiska ämnen               </v>
      </c>
      <c r="T100" s="32" t="str">
        <f>VLOOKUP(R100,Orgenheter!$A$1:$C$166,3,FALSE)</f>
        <v>Hum</v>
      </c>
      <c r="U100" s="37" t="str">
        <f>VLOOKUP(D100,Program!$A$1:$B$34,2,FALSE)</f>
        <v>VAL-projektet</v>
      </c>
      <c r="V100" s="41">
        <f>VLOOKUP(A100,kurspris!$A$1:$Q$225,15,FALSE)</f>
        <v>31433</v>
      </c>
      <c r="W100" s="41">
        <f>VLOOKUP(A100,kurspris!$A$1:$Q$225,16,FALSE)</f>
        <v>65018</v>
      </c>
      <c r="X100" s="41">
        <f t="shared" si="85"/>
        <v>24112.75</v>
      </c>
      <c r="Y100" s="41">
        <f>VLOOKUP(A100,kurspris!$A$1:$Q$225,17,FALSE)</f>
        <v>71400</v>
      </c>
      <c r="Z100" s="41">
        <f t="shared" si="86"/>
        <v>17850</v>
      </c>
      <c r="AA100" s="41">
        <f t="shared" si="87"/>
        <v>41962.75</v>
      </c>
      <c r="AB100" s="32">
        <f>VLOOKUP($A100,kurspris!$A$1:$Q$262,3,FALSE)</f>
        <v>0</v>
      </c>
      <c r="AC100" s="32">
        <f>VLOOKUP($A100,kurspris!$A$1:$Q$262,4,FALSE)</f>
        <v>0</v>
      </c>
      <c r="AD100" s="32">
        <f>VLOOKUP($A100,kurspris!$A$1:$Q$262,5,FALSE)</f>
        <v>0</v>
      </c>
      <c r="AE100" s="32">
        <f>VLOOKUP($A100,kurspris!$A$1:$Q$262,6,FALSE)</f>
        <v>0</v>
      </c>
      <c r="AF100" s="32">
        <f>VLOOKUP($A100,kurspris!$A$1:$Q$262,7,FALSE)</f>
        <v>1</v>
      </c>
      <c r="AG100" s="32">
        <f>VLOOKUP($A100,kurspris!$A$1:$Q$262,8,FALSE)</f>
        <v>0</v>
      </c>
      <c r="AH100" s="32">
        <f>VLOOKUP($A100,kurspris!$A$1:$Q$262,9,FALSE)</f>
        <v>0</v>
      </c>
      <c r="AI100" s="32">
        <f>VLOOKUP($A100,kurspris!$A$1:$Q$262,10,FALSE)</f>
        <v>0</v>
      </c>
      <c r="AJ100" s="32">
        <f>VLOOKUP($A100,kurspris!$A$1:$Q$262,11,FALSE)</f>
        <v>0</v>
      </c>
      <c r="AK100" s="32">
        <f>VLOOKUP($A100,kurspris!$A$1:$Q$262,12,FALSE)</f>
        <v>0</v>
      </c>
      <c r="AL100" s="32">
        <f>VLOOKUP($A100,kurspris!$A$1:$Q$262,13,FALSE)</f>
        <v>0</v>
      </c>
      <c r="AM100" s="32">
        <f>VLOOKUP($A100,kurspris!$A$1:$Q$262,14,FALSE)</f>
        <v>0</v>
      </c>
      <c r="AN100" s="38" t="s">
        <v>946</v>
      </c>
      <c r="AO100" t="s">
        <v>947</v>
      </c>
      <c r="AP100" s="32">
        <f t="shared" si="88"/>
        <v>0</v>
      </c>
      <c r="AQ100" s="234">
        <f t="shared" si="89"/>
        <v>0</v>
      </c>
      <c r="AR100" s="32">
        <f t="shared" si="90"/>
        <v>0</v>
      </c>
      <c r="AS100" s="234">
        <f t="shared" si="91"/>
        <v>0</v>
      </c>
      <c r="AT100" s="32">
        <f t="shared" si="92"/>
        <v>0</v>
      </c>
      <c r="AU100" s="32">
        <f t="shared" si="93"/>
        <v>0</v>
      </c>
      <c r="AV100" s="32">
        <f t="shared" si="94"/>
        <v>0</v>
      </c>
      <c r="AW100" s="234">
        <f t="shared" si="95"/>
        <v>0</v>
      </c>
      <c r="AX100" s="226">
        <f t="shared" si="96"/>
        <v>0.25</v>
      </c>
      <c r="AY100" s="234">
        <f t="shared" si="97"/>
        <v>0.25</v>
      </c>
      <c r="AZ100" s="32">
        <f t="shared" si="98"/>
        <v>0</v>
      </c>
      <c r="BA100" s="234">
        <f t="shared" si="99"/>
        <v>0</v>
      </c>
      <c r="BB100" s="32">
        <f t="shared" si="100"/>
        <v>0</v>
      </c>
      <c r="BC100" s="234">
        <f t="shared" si="101"/>
        <v>0</v>
      </c>
      <c r="BD100" s="32">
        <f t="shared" si="102"/>
        <v>0</v>
      </c>
      <c r="BE100" s="234">
        <f t="shared" si="103"/>
        <v>0</v>
      </c>
      <c r="BF100" s="32">
        <f t="shared" si="104"/>
        <v>0</v>
      </c>
      <c r="BG100" s="234">
        <f t="shared" si="105"/>
        <v>0</v>
      </c>
      <c r="BH100" s="32">
        <f t="shared" si="106"/>
        <v>0</v>
      </c>
      <c r="BI100" s="32">
        <f t="shared" si="107"/>
        <v>0</v>
      </c>
      <c r="BJ100" s="234">
        <f t="shared" si="108"/>
        <v>0</v>
      </c>
      <c r="BK100" s="32">
        <f t="shared" si="109"/>
        <v>0</v>
      </c>
      <c r="BL100" s="234">
        <f t="shared" si="110"/>
        <v>0</v>
      </c>
    </row>
    <row r="101" spans="1:64" x14ac:dyDescent="0.25">
      <c r="A101" s="221" t="s">
        <v>872</v>
      </c>
      <c r="B101" s="26" t="str">
        <f>VLOOKUP(A101,kurspris!$A$1:$B$304,2,FALSE)</f>
        <v>Grupprocesser och samverkan ur ett fritidshemsperspektiv</v>
      </c>
      <c r="C101" s="56"/>
      <c r="D101" s="32" t="s">
        <v>74</v>
      </c>
      <c r="E101" s="59" t="s">
        <v>925</v>
      </c>
      <c r="F101" s="59" t="s">
        <v>933</v>
      </c>
      <c r="G101" s="59" t="s">
        <v>939</v>
      </c>
      <c r="H101" s="59"/>
      <c r="K101" s="37"/>
      <c r="L101" s="32">
        <v>100</v>
      </c>
      <c r="M101" s="32">
        <v>7.5</v>
      </c>
      <c r="N101" s="32">
        <v>1</v>
      </c>
      <c r="O101" s="234">
        <f t="shared" si="83"/>
        <v>0.125</v>
      </c>
      <c r="P101" s="39">
        <v>1</v>
      </c>
      <c r="Q101" s="234">
        <f t="shared" si="84"/>
        <v>0.125</v>
      </c>
      <c r="R101" s="32">
        <f>VLOOKUP(A101,'Ansvar kurs'!$A$1:$C$399,2,FALSE)</f>
        <v>2193</v>
      </c>
      <c r="S101" s="32" t="str">
        <f>VLOOKUP(R101,Orgenheter!$A$1:$C$166,2,FALSE)</f>
        <v xml:space="preserve">TUV </v>
      </c>
      <c r="T101" s="32" t="str">
        <f>VLOOKUP(R101,Orgenheter!$A$1:$C$166,3,FALSE)</f>
        <v>Sam</v>
      </c>
      <c r="U101" s="37" t="str">
        <f>VLOOKUP(D101,Program!$A$1:$B$34,2,FALSE)</f>
        <v>VAL-projektet</v>
      </c>
      <c r="V101" s="41">
        <f>VLOOKUP(A101,kurspris!$A$1:$Q$225,15,FALSE)</f>
        <v>19097</v>
      </c>
      <c r="W101" s="41">
        <f>VLOOKUP(A101,kurspris!$A$1:$Q$225,16,FALSE)</f>
        <v>16075</v>
      </c>
      <c r="X101" s="41">
        <f t="shared" si="85"/>
        <v>4396.5</v>
      </c>
      <c r="Y101" s="41">
        <f>VLOOKUP(A101,kurspris!$A$1:$Q$225,17,FALSE)</f>
        <v>5900</v>
      </c>
      <c r="Z101" s="41">
        <f t="shared" si="86"/>
        <v>737.5</v>
      </c>
      <c r="AA101" s="41">
        <f t="shared" si="87"/>
        <v>5134</v>
      </c>
      <c r="AB101" s="32">
        <f>VLOOKUP($A101,kurspris!$A$1:$Q$262,3,FALSE)</f>
        <v>0</v>
      </c>
      <c r="AC101" s="32">
        <f>VLOOKUP($A101,kurspris!$A$1:$Q$262,4,FALSE)</f>
        <v>0</v>
      </c>
      <c r="AD101" s="32">
        <f>VLOOKUP($A101,kurspris!$A$1:$Q$262,5,FALSE)</f>
        <v>0</v>
      </c>
      <c r="AE101" s="32">
        <f>VLOOKUP($A101,kurspris!$A$1:$Q$262,6,FALSE)</f>
        <v>0</v>
      </c>
      <c r="AF101" s="32">
        <f>VLOOKUP($A101,kurspris!$A$1:$Q$262,7,FALSE)</f>
        <v>0</v>
      </c>
      <c r="AG101" s="32">
        <f>VLOOKUP($A101,kurspris!$A$1:$Q$262,8,FALSE)</f>
        <v>0</v>
      </c>
      <c r="AH101" s="32">
        <f>VLOOKUP($A101,kurspris!$A$1:$Q$262,9,FALSE)</f>
        <v>1</v>
      </c>
      <c r="AI101" s="32">
        <f>VLOOKUP($A101,kurspris!$A$1:$Q$262,10,FALSE)</f>
        <v>0</v>
      </c>
      <c r="AJ101" s="32">
        <f>VLOOKUP($A101,kurspris!$A$1:$Q$262,11,FALSE)</f>
        <v>0</v>
      </c>
      <c r="AK101" s="32">
        <f>VLOOKUP($A101,kurspris!$A$1:$Q$262,12,FALSE)</f>
        <v>0</v>
      </c>
      <c r="AL101" s="32">
        <f>VLOOKUP($A101,kurspris!$A$1:$Q$262,13,FALSE)</f>
        <v>0</v>
      </c>
      <c r="AM101" s="32">
        <f>VLOOKUP($A101,kurspris!$A$1:$Q$262,14,FALSE)</f>
        <v>0</v>
      </c>
      <c r="AN101" s="38" t="s">
        <v>946</v>
      </c>
      <c r="AP101" s="32">
        <f t="shared" si="88"/>
        <v>0</v>
      </c>
      <c r="AQ101" s="234">
        <f t="shared" si="89"/>
        <v>0</v>
      </c>
      <c r="AR101" s="32">
        <f t="shared" si="90"/>
        <v>0</v>
      </c>
      <c r="AS101" s="234">
        <f t="shared" si="91"/>
        <v>0</v>
      </c>
      <c r="AT101" s="32">
        <f t="shared" si="92"/>
        <v>0</v>
      </c>
      <c r="AU101" s="32">
        <f t="shared" si="93"/>
        <v>0</v>
      </c>
      <c r="AV101" s="32">
        <f t="shared" si="94"/>
        <v>0</v>
      </c>
      <c r="AW101" s="234">
        <f t="shared" si="95"/>
        <v>0</v>
      </c>
      <c r="AX101" s="226">
        <f t="shared" si="96"/>
        <v>0</v>
      </c>
      <c r="AY101" s="234">
        <f t="shared" si="97"/>
        <v>0</v>
      </c>
      <c r="AZ101" s="32">
        <f t="shared" si="98"/>
        <v>0</v>
      </c>
      <c r="BA101" s="234">
        <f t="shared" si="99"/>
        <v>0</v>
      </c>
      <c r="BB101" s="32">
        <f t="shared" si="100"/>
        <v>0.125</v>
      </c>
      <c r="BC101" s="234">
        <f t="shared" si="101"/>
        <v>0.125</v>
      </c>
      <c r="BD101" s="32">
        <f t="shared" si="102"/>
        <v>0</v>
      </c>
      <c r="BE101" s="234">
        <f t="shared" si="103"/>
        <v>0</v>
      </c>
      <c r="BF101" s="32">
        <f t="shared" si="104"/>
        <v>0</v>
      </c>
      <c r="BG101" s="234">
        <f t="shared" si="105"/>
        <v>0</v>
      </c>
      <c r="BH101" s="32">
        <f t="shared" si="106"/>
        <v>0</v>
      </c>
      <c r="BI101" s="32">
        <f t="shared" si="107"/>
        <v>0</v>
      </c>
      <c r="BJ101" s="234">
        <f t="shared" si="108"/>
        <v>0</v>
      </c>
      <c r="BK101" s="32">
        <f t="shared" si="109"/>
        <v>0</v>
      </c>
      <c r="BL101" s="234">
        <f t="shared" si="110"/>
        <v>0</v>
      </c>
    </row>
    <row r="102" spans="1:64" x14ac:dyDescent="0.25">
      <c r="A102" s="221" t="s">
        <v>532</v>
      </c>
      <c r="B102" s="26" t="str">
        <f>VLOOKUP(A102,kurspris!$A$1:$B$304,2,FALSE)</f>
        <v>Utbildningens villkor och samhälleliga funktion - grundnivå (VAL, ULV)</v>
      </c>
      <c r="C102" s="56"/>
      <c r="D102" s="32" t="s">
        <v>74</v>
      </c>
      <c r="E102" s="59" t="s">
        <v>928</v>
      </c>
      <c r="F102" s="59" t="s">
        <v>933</v>
      </c>
      <c r="G102" s="59" t="s">
        <v>936</v>
      </c>
      <c r="H102" s="59"/>
      <c r="K102" s="37"/>
      <c r="L102" s="32">
        <v>50</v>
      </c>
      <c r="M102" s="32">
        <v>7.5</v>
      </c>
      <c r="N102" s="32">
        <v>2</v>
      </c>
      <c r="O102" s="234">
        <f t="shared" si="83"/>
        <v>0.25</v>
      </c>
      <c r="P102" s="39">
        <v>1</v>
      </c>
      <c r="Q102" s="234">
        <f t="shared" si="84"/>
        <v>0.25</v>
      </c>
      <c r="R102" s="32">
        <f>VLOOKUP(A102,'Ansvar kurs'!$A$1:$C$399,2,FALSE)</f>
        <v>2193</v>
      </c>
      <c r="S102" s="32" t="str">
        <f>VLOOKUP(R102,Orgenheter!$A$1:$C$166,2,FALSE)</f>
        <v xml:space="preserve">TUV </v>
      </c>
      <c r="T102" s="32" t="str">
        <f>VLOOKUP(R102,Orgenheter!$A$1:$C$166,3,FALSE)</f>
        <v>Sam</v>
      </c>
      <c r="U102" s="37" t="str">
        <f>VLOOKUP(D102,Program!$A$1:$B$34,2,FALSE)</f>
        <v>VAL-projektet</v>
      </c>
      <c r="V102" s="41">
        <f>VLOOKUP(A102,kurspris!$A$1:$Q$225,15,FALSE)</f>
        <v>24104</v>
      </c>
      <c r="W102" s="41">
        <f>VLOOKUP(A102,kurspris!$A$1:$Q$225,16,FALSE)</f>
        <v>31432</v>
      </c>
      <c r="X102" s="41">
        <f t="shared" si="85"/>
        <v>13884</v>
      </c>
      <c r="Y102" s="41">
        <f>VLOOKUP(A102,kurspris!$A$1:$Q$225,17,FALSE)</f>
        <v>5900</v>
      </c>
      <c r="Z102" s="41">
        <f t="shared" si="86"/>
        <v>1475</v>
      </c>
      <c r="AA102" s="41">
        <f t="shared" si="87"/>
        <v>15359</v>
      </c>
      <c r="AB102" s="32">
        <f>VLOOKUP($A102,kurspris!$A$1:$Q$262,3,FALSE)</f>
        <v>0</v>
      </c>
      <c r="AC102" s="32">
        <f>VLOOKUP($A102,kurspris!$A$1:$Q$262,4,FALSE)</f>
        <v>0</v>
      </c>
      <c r="AD102" s="32">
        <f>VLOOKUP($A102,kurspris!$A$1:$Q$262,5,FALSE)</f>
        <v>0</v>
      </c>
      <c r="AE102" s="32">
        <f>VLOOKUP($A102,kurspris!$A$1:$Q$262,6,FALSE)</f>
        <v>1</v>
      </c>
      <c r="AF102" s="32">
        <f>VLOOKUP($A102,kurspris!$A$1:$Q$262,7,FALSE)</f>
        <v>0</v>
      </c>
      <c r="AG102" s="32">
        <f>VLOOKUP($A102,kurspris!$A$1:$Q$262,8,FALSE)</f>
        <v>0</v>
      </c>
      <c r="AH102" s="32">
        <f>VLOOKUP($A102,kurspris!$A$1:$Q$262,9,FALSE)</f>
        <v>0</v>
      </c>
      <c r="AI102" s="32">
        <f>VLOOKUP($A102,kurspris!$A$1:$Q$262,10,FALSE)</f>
        <v>0</v>
      </c>
      <c r="AJ102" s="32">
        <f>VLOOKUP($A102,kurspris!$A$1:$Q$262,11,FALSE)</f>
        <v>0</v>
      </c>
      <c r="AK102" s="32">
        <f>VLOOKUP($A102,kurspris!$A$1:$Q$262,12,FALSE)</f>
        <v>0</v>
      </c>
      <c r="AL102" s="32">
        <f>VLOOKUP($A102,kurspris!$A$1:$Q$262,13,FALSE)</f>
        <v>0</v>
      </c>
      <c r="AM102" s="32">
        <f>VLOOKUP($A102,kurspris!$A$1:$Q$262,14,FALSE)</f>
        <v>0</v>
      </c>
      <c r="AN102" s="38" t="s">
        <v>946</v>
      </c>
      <c r="AP102" s="32">
        <f t="shared" si="88"/>
        <v>0</v>
      </c>
      <c r="AQ102" s="234">
        <f t="shared" si="89"/>
        <v>0</v>
      </c>
      <c r="AR102" s="32">
        <f t="shared" si="90"/>
        <v>0</v>
      </c>
      <c r="AS102" s="234">
        <f t="shared" si="91"/>
        <v>0</v>
      </c>
      <c r="AT102" s="32">
        <f t="shared" si="92"/>
        <v>0</v>
      </c>
      <c r="AU102" s="32">
        <f t="shared" si="93"/>
        <v>0</v>
      </c>
      <c r="AV102" s="32">
        <f t="shared" si="94"/>
        <v>0.25</v>
      </c>
      <c r="AW102" s="234">
        <f t="shared" si="95"/>
        <v>0.25</v>
      </c>
      <c r="AX102" s="226">
        <f t="shared" si="96"/>
        <v>0</v>
      </c>
      <c r="AY102" s="234">
        <f t="shared" si="97"/>
        <v>0</v>
      </c>
      <c r="AZ102" s="32">
        <f t="shared" si="98"/>
        <v>0</v>
      </c>
      <c r="BA102" s="234">
        <f t="shared" si="99"/>
        <v>0</v>
      </c>
      <c r="BB102" s="32">
        <f t="shared" si="100"/>
        <v>0</v>
      </c>
      <c r="BC102" s="234">
        <f t="shared" si="101"/>
        <v>0</v>
      </c>
      <c r="BD102" s="32">
        <f t="shared" si="102"/>
        <v>0</v>
      </c>
      <c r="BE102" s="234">
        <f t="shared" si="103"/>
        <v>0</v>
      </c>
      <c r="BF102" s="32">
        <f t="shared" si="104"/>
        <v>0</v>
      </c>
      <c r="BG102" s="234">
        <f t="shared" si="105"/>
        <v>0</v>
      </c>
      <c r="BH102" s="32">
        <f t="shared" si="106"/>
        <v>0</v>
      </c>
      <c r="BI102" s="32">
        <f t="shared" si="107"/>
        <v>0</v>
      </c>
      <c r="BJ102" s="234">
        <f t="shared" si="108"/>
        <v>0</v>
      </c>
      <c r="BK102" s="32">
        <f t="shared" si="109"/>
        <v>0</v>
      </c>
      <c r="BL102" s="234">
        <f t="shared" si="110"/>
        <v>0</v>
      </c>
    </row>
    <row r="103" spans="1:64" x14ac:dyDescent="0.25">
      <c r="A103" s="221" t="s">
        <v>532</v>
      </c>
      <c r="B103" s="26" t="str">
        <f>VLOOKUP(A103,kurspris!$A$1:$B$304,2,FALSE)</f>
        <v>Utbildningens villkor och samhälleliga funktion - grundnivå (VAL, ULV)</v>
      </c>
      <c r="C103" s="56"/>
      <c r="D103" s="32" t="s">
        <v>74</v>
      </c>
      <c r="E103" s="59" t="s">
        <v>929</v>
      </c>
      <c r="F103" s="59" t="s">
        <v>933</v>
      </c>
      <c r="G103" s="59" t="s">
        <v>936</v>
      </c>
      <c r="H103" s="59"/>
      <c r="K103" s="37"/>
      <c r="L103" s="32">
        <v>50</v>
      </c>
      <c r="M103" s="32">
        <v>7.5</v>
      </c>
      <c r="N103" s="32">
        <v>3</v>
      </c>
      <c r="O103" s="234">
        <f t="shared" si="83"/>
        <v>0.375</v>
      </c>
      <c r="P103" s="39">
        <v>1</v>
      </c>
      <c r="Q103" s="234">
        <f t="shared" si="84"/>
        <v>0.375</v>
      </c>
      <c r="R103" s="32">
        <f>VLOOKUP(A103,'Ansvar kurs'!$A$1:$C$399,2,FALSE)</f>
        <v>2193</v>
      </c>
      <c r="S103" s="32" t="str">
        <f>VLOOKUP(R103,Orgenheter!$A$1:$C$166,2,FALSE)</f>
        <v xml:space="preserve">TUV </v>
      </c>
      <c r="T103" s="32" t="str">
        <f>VLOOKUP(R103,Orgenheter!$A$1:$C$166,3,FALSE)</f>
        <v>Sam</v>
      </c>
      <c r="U103" s="37" t="str">
        <f>VLOOKUP(D103,Program!$A$1:$B$34,2,FALSE)</f>
        <v>VAL-projektet</v>
      </c>
      <c r="V103" s="41">
        <f>VLOOKUP(A103,kurspris!$A$1:$Q$225,15,FALSE)</f>
        <v>24104</v>
      </c>
      <c r="W103" s="41">
        <f>VLOOKUP(A103,kurspris!$A$1:$Q$225,16,FALSE)</f>
        <v>31432</v>
      </c>
      <c r="X103" s="41">
        <f t="shared" si="85"/>
        <v>20826</v>
      </c>
      <c r="Y103" s="41">
        <f>VLOOKUP(A103,kurspris!$A$1:$Q$225,17,FALSE)</f>
        <v>5900</v>
      </c>
      <c r="Z103" s="41">
        <f t="shared" si="86"/>
        <v>2212.5</v>
      </c>
      <c r="AA103" s="41">
        <f t="shared" si="87"/>
        <v>23038.5</v>
      </c>
      <c r="AB103" s="32">
        <f>VLOOKUP($A103,kurspris!$A$1:$Q$262,3,FALSE)</f>
        <v>0</v>
      </c>
      <c r="AC103" s="32">
        <f>VLOOKUP($A103,kurspris!$A$1:$Q$262,4,FALSE)</f>
        <v>0</v>
      </c>
      <c r="AD103" s="32">
        <f>VLOOKUP($A103,kurspris!$A$1:$Q$262,5,FALSE)</f>
        <v>0</v>
      </c>
      <c r="AE103" s="32">
        <f>VLOOKUP($A103,kurspris!$A$1:$Q$262,6,FALSE)</f>
        <v>1</v>
      </c>
      <c r="AF103" s="32">
        <f>VLOOKUP($A103,kurspris!$A$1:$Q$262,7,FALSE)</f>
        <v>0</v>
      </c>
      <c r="AG103" s="32">
        <f>VLOOKUP($A103,kurspris!$A$1:$Q$262,8,FALSE)</f>
        <v>0</v>
      </c>
      <c r="AH103" s="32">
        <f>VLOOKUP($A103,kurspris!$A$1:$Q$262,9,FALSE)</f>
        <v>0</v>
      </c>
      <c r="AI103" s="32">
        <f>VLOOKUP($A103,kurspris!$A$1:$Q$262,10,FALSE)</f>
        <v>0</v>
      </c>
      <c r="AJ103" s="32">
        <f>VLOOKUP($A103,kurspris!$A$1:$Q$262,11,FALSE)</f>
        <v>0</v>
      </c>
      <c r="AK103" s="32">
        <f>VLOOKUP($A103,kurspris!$A$1:$Q$262,12,FALSE)</f>
        <v>0</v>
      </c>
      <c r="AL103" s="32">
        <f>VLOOKUP($A103,kurspris!$A$1:$Q$262,13,FALSE)</f>
        <v>0</v>
      </c>
      <c r="AM103" s="32">
        <f>VLOOKUP($A103,kurspris!$A$1:$Q$262,14,FALSE)</f>
        <v>0</v>
      </c>
      <c r="AN103" s="38" t="s">
        <v>946</v>
      </c>
      <c r="AP103" s="32">
        <f t="shared" si="88"/>
        <v>0</v>
      </c>
      <c r="AQ103" s="234">
        <f t="shared" si="89"/>
        <v>0</v>
      </c>
      <c r="AR103" s="32">
        <f t="shared" si="90"/>
        <v>0</v>
      </c>
      <c r="AS103" s="234">
        <f t="shared" si="91"/>
        <v>0</v>
      </c>
      <c r="AT103" s="32">
        <f t="shared" si="92"/>
        <v>0</v>
      </c>
      <c r="AU103" s="32">
        <f t="shared" si="93"/>
        <v>0</v>
      </c>
      <c r="AV103" s="32">
        <f t="shared" si="94"/>
        <v>0.375</v>
      </c>
      <c r="AW103" s="234">
        <f t="shared" si="95"/>
        <v>0.375</v>
      </c>
      <c r="AX103" s="226">
        <f t="shared" si="96"/>
        <v>0</v>
      </c>
      <c r="AY103" s="234">
        <f t="shared" si="97"/>
        <v>0</v>
      </c>
      <c r="AZ103" s="32">
        <f t="shared" si="98"/>
        <v>0</v>
      </c>
      <c r="BA103" s="234">
        <f t="shared" si="99"/>
        <v>0</v>
      </c>
      <c r="BB103" s="32">
        <f t="shared" si="100"/>
        <v>0</v>
      </c>
      <c r="BC103" s="234">
        <f t="shared" si="101"/>
        <v>0</v>
      </c>
      <c r="BD103" s="32">
        <f t="shared" si="102"/>
        <v>0</v>
      </c>
      <c r="BE103" s="234">
        <f t="shared" si="103"/>
        <v>0</v>
      </c>
      <c r="BF103" s="32">
        <f t="shared" si="104"/>
        <v>0</v>
      </c>
      <c r="BG103" s="234">
        <f t="shared" si="105"/>
        <v>0</v>
      </c>
      <c r="BH103" s="32">
        <f t="shared" si="106"/>
        <v>0</v>
      </c>
      <c r="BI103" s="32">
        <f t="shared" si="107"/>
        <v>0</v>
      </c>
      <c r="BJ103" s="234">
        <f t="shared" si="108"/>
        <v>0</v>
      </c>
      <c r="BK103" s="32">
        <f t="shared" si="109"/>
        <v>0</v>
      </c>
      <c r="BL103" s="234">
        <f t="shared" si="110"/>
        <v>0</v>
      </c>
    </row>
    <row r="104" spans="1:64" x14ac:dyDescent="0.25">
      <c r="A104" s="162" t="s">
        <v>532</v>
      </c>
      <c r="B104" s="26" t="str">
        <f>VLOOKUP(A104,kurspris!$A$1:$B$304,2,FALSE)</f>
        <v>Utbildningens villkor och samhälleliga funktion - grundnivå (VAL, ULV)</v>
      </c>
      <c r="C104" s="351"/>
      <c r="D104" s="32" t="s">
        <v>74</v>
      </c>
      <c r="E104" s="59" t="s">
        <v>925</v>
      </c>
      <c r="F104" s="59" t="s">
        <v>933</v>
      </c>
      <c r="G104" s="32" t="s">
        <v>936</v>
      </c>
      <c r="H104" s="59"/>
      <c r="K104" s="37"/>
      <c r="L104" s="32">
        <v>50</v>
      </c>
      <c r="M104" s="32">
        <v>7.5</v>
      </c>
      <c r="N104" s="375">
        <v>19</v>
      </c>
      <c r="O104" s="234">
        <f t="shared" si="83"/>
        <v>2.375</v>
      </c>
      <c r="P104" s="39">
        <v>1</v>
      </c>
      <c r="Q104" s="234">
        <f t="shared" si="84"/>
        <v>2.375</v>
      </c>
      <c r="R104" s="32">
        <f>VLOOKUP(A104,'Ansvar kurs'!$A$1:$C$399,2,FALSE)</f>
        <v>2193</v>
      </c>
      <c r="S104" s="32" t="str">
        <f>VLOOKUP(R104,Orgenheter!$A$1:$C$166,2,FALSE)</f>
        <v xml:space="preserve">TUV </v>
      </c>
      <c r="T104" s="32" t="str">
        <f>VLOOKUP(R104,Orgenheter!$A$1:$C$166,3,FALSE)</f>
        <v>Sam</v>
      </c>
      <c r="U104" s="37" t="str">
        <f>VLOOKUP(D104,Program!$A$1:$B$34,2,FALSE)</f>
        <v>VAL-projektet</v>
      </c>
      <c r="V104" s="41">
        <f>VLOOKUP(A104,kurspris!$A$1:$Q$225,15,FALSE)</f>
        <v>24104</v>
      </c>
      <c r="W104" s="41">
        <f>VLOOKUP(A104,kurspris!$A$1:$Q$225,16,FALSE)</f>
        <v>31432</v>
      </c>
      <c r="X104" s="41">
        <f t="shared" si="85"/>
        <v>131898</v>
      </c>
      <c r="Y104" s="41">
        <f>VLOOKUP(A104,kurspris!$A$1:$Q$225,17,FALSE)</f>
        <v>5900</v>
      </c>
      <c r="Z104" s="41">
        <f t="shared" si="86"/>
        <v>14012.5</v>
      </c>
      <c r="AA104" s="41">
        <f t="shared" si="87"/>
        <v>145910.5</v>
      </c>
      <c r="AB104" s="32">
        <f>VLOOKUP($A104,kurspris!$A$1:$Q$262,3,FALSE)</f>
        <v>0</v>
      </c>
      <c r="AC104" s="32">
        <f>VLOOKUP($A104,kurspris!$A$1:$Q$262,4,FALSE)</f>
        <v>0</v>
      </c>
      <c r="AD104" s="32">
        <f>VLOOKUP($A104,kurspris!$A$1:$Q$262,5,FALSE)</f>
        <v>0</v>
      </c>
      <c r="AE104" s="32">
        <f>VLOOKUP($A104,kurspris!$A$1:$Q$262,6,FALSE)</f>
        <v>1</v>
      </c>
      <c r="AF104" s="32">
        <f>VLOOKUP($A104,kurspris!$A$1:$Q$262,7,FALSE)</f>
        <v>0</v>
      </c>
      <c r="AG104" s="32">
        <f>VLOOKUP($A104,kurspris!$A$1:$Q$262,8,FALSE)</f>
        <v>0</v>
      </c>
      <c r="AH104" s="32">
        <f>VLOOKUP($A104,kurspris!$A$1:$Q$262,9,FALSE)</f>
        <v>0</v>
      </c>
      <c r="AI104" s="32">
        <f>VLOOKUP($A104,kurspris!$A$1:$Q$262,10,FALSE)</f>
        <v>0</v>
      </c>
      <c r="AJ104" s="32">
        <f>VLOOKUP($A104,kurspris!$A$1:$Q$262,11,FALSE)</f>
        <v>0</v>
      </c>
      <c r="AK104" s="32">
        <f>VLOOKUP($A104,kurspris!$A$1:$Q$262,12,FALSE)</f>
        <v>0</v>
      </c>
      <c r="AL104" s="32">
        <f>VLOOKUP($A104,kurspris!$A$1:$Q$262,13,FALSE)</f>
        <v>0</v>
      </c>
      <c r="AM104" s="32">
        <f>VLOOKUP($A104,kurspris!$A$1:$Q$262,14,FALSE)</f>
        <v>0</v>
      </c>
      <c r="AN104" s="38" t="s">
        <v>946</v>
      </c>
      <c r="AO104"/>
      <c r="AP104" s="32">
        <f t="shared" si="88"/>
        <v>0</v>
      </c>
      <c r="AQ104" s="234">
        <f t="shared" si="89"/>
        <v>0</v>
      </c>
      <c r="AR104" s="32">
        <f t="shared" si="90"/>
        <v>0</v>
      </c>
      <c r="AS104" s="234">
        <f t="shared" si="91"/>
        <v>0</v>
      </c>
      <c r="AT104" s="32">
        <f t="shared" si="92"/>
        <v>0</v>
      </c>
      <c r="AU104" s="32">
        <f t="shared" si="93"/>
        <v>0</v>
      </c>
      <c r="AV104" s="32">
        <f t="shared" si="94"/>
        <v>2.375</v>
      </c>
      <c r="AW104" s="234">
        <f t="shared" si="95"/>
        <v>2.375</v>
      </c>
      <c r="AX104" s="226">
        <f t="shared" si="96"/>
        <v>0</v>
      </c>
      <c r="AY104" s="234">
        <f t="shared" si="97"/>
        <v>0</v>
      </c>
      <c r="AZ104" s="32">
        <f t="shared" si="98"/>
        <v>0</v>
      </c>
      <c r="BA104" s="234">
        <f t="shared" si="99"/>
        <v>0</v>
      </c>
      <c r="BB104" s="32">
        <f t="shared" si="100"/>
        <v>0</v>
      </c>
      <c r="BC104" s="234">
        <f t="shared" si="101"/>
        <v>0</v>
      </c>
      <c r="BD104" s="32">
        <f t="shared" si="102"/>
        <v>0</v>
      </c>
      <c r="BE104" s="234">
        <f t="shared" si="103"/>
        <v>0</v>
      </c>
      <c r="BF104" s="32">
        <f t="shared" si="104"/>
        <v>0</v>
      </c>
      <c r="BG104" s="234">
        <f t="shared" si="105"/>
        <v>0</v>
      </c>
      <c r="BH104" s="32">
        <f t="shared" si="106"/>
        <v>0</v>
      </c>
      <c r="BI104" s="32">
        <f t="shared" si="107"/>
        <v>0</v>
      </c>
      <c r="BJ104" s="234">
        <f t="shared" si="108"/>
        <v>0</v>
      </c>
      <c r="BK104" s="32">
        <f t="shared" si="109"/>
        <v>0</v>
      </c>
      <c r="BL104" s="234">
        <f t="shared" si="110"/>
        <v>0</v>
      </c>
    </row>
    <row r="105" spans="1:64" x14ac:dyDescent="0.25">
      <c r="A105" s="221" t="s">
        <v>532</v>
      </c>
      <c r="B105" s="26" t="str">
        <f>VLOOKUP(A105,kurspris!$A$1:$B$304,2,FALSE)</f>
        <v>Utbildningens villkor och samhälleliga funktion - grundnivå (VAL, ULV)</v>
      </c>
      <c r="C105" s="56"/>
      <c r="D105" s="32" t="s">
        <v>74</v>
      </c>
      <c r="E105" s="59" t="s">
        <v>927</v>
      </c>
      <c r="F105" s="59" t="s">
        <v>933</v>
      </c>
      <c r="G105" s="59" t="s">
        <v>936</v>
      </c>
      <c r="H105" s="59"/>
      <c r="J105" s="59"/>
      <c r="K105" s="37"/>
      <c r="L105" s="32">
        <v>50</v>
      </c>
      <c r="M105" s="32">
        <v>7.5</v>
      </c>
      <c r="N105" s="32">
        <v>1</v>
      </c>
      <c r="O105" s="234">
        <f t="shared" si="83"/>
        <v>0.125</v>
      </c>
      <c r="P105" s="39">
        <v>1</v>
      </c>
      <c r="Q105" s="234">
        <f t="shared" si="84"/>
        <v>0.125</v>
      </c>
      <c r="R105" s="32">
        <f>VLOOKUP(A105,'Ansvar kurs'!$A$1:$C$399,2,FALSE)</f>
        <v>2193</v>
      </c>
      <c r="S105" s="32" t="str">
        <f>VLOOKUP(R105,Orgenheter!$A$1:$C$166,2,FALSE)</f>
        <v xml:space="preserve">TUV </v>
      </c>
      <c r="T105" s="32" t="str">
        <f>VLOOKUP(R105,Orgenheter!$A$1:$C$166,3,FALSE)</f>
        <v>Sam</v>
      </c>
      <c r="U105" s="37" t="str">
        <f>VLOOKUP(D105,Program!$A$1:$B$34,2,FALSE)</f>
        <v>VAL-projektet</v>
      </c>
      <c r="V105" s="41">
        <f>VLOOKUP(A105,kurspris!$A$1:$Q$225,15,FALSE)</f>
        <v>24104</v>
      </c>
      <c r="W105" s="41">
        <f>VLOOKUP(A105,kurspris!$A$1:$Q$225,16,FALSE)</f>
        <v>31432</v>
      </c>
      <c r="X105" s="41">
        <f t="shared" si="85"/>
        <v>6942</v>
      </c>
      <c r="Y105" s="41">
        <f>VLOOKUP(A105,kurspris!$A$1:$Q$225,17,FALSE)</f>
        <v>5900</v>
      </c>
      <c r="Z105" s="41">
        <f t="shared" si="86"/>
        <v>737.5</v>
      </c>
      <c r="AA105" s="41">
        <f t="shared" si="87"/>
        <v>7679.5</v>
      </c>
      <c r="AB105" s="32">
        <f>VLOOKUP($A105,kurspris!$A$1:$Q$262,3,FALSE)</f>
        <v>0</v>
      </c>
      <c r="AC105" s="32">
        <f>VLOOKUP($A105,kurspris!$A$1:$Q$262,4,FALSE)</f>
        <v>0</v>
      </c>
      <c r="AD105" s="32">
        <f>VLOOKUP($A105,kurspris!$A$1:$Q$262,5,FALSE)</f>
        <v>0</v>
      </c>
      <c r="AE105" s="32">
        <f>VLOOKUP($A105,kurspris!$A$1:$Q$262,6,FALSE)</f>
        <v>1</v>
      </c>
      <c r="AF105" s="32">
        <f>VLOOKUP($A105,kurspris!$A$1:$Q$262,7,FALSE)</f>
        <v>0</v>
      </c>
      <c r="AG105" s="32">
        <f>VLOOKUP($A105,kurspris!$A$1:$Q$262,8,FALSE)</f>
        <v>0</v>
      </c>
      <c r="AH105" s="32">
        <f>VLOOKUP($A105,kurspris!$A$1:$Q$262,9,FALSE)</f>
        <v>0</v>
      </c>
      <c r="AI105" s="32">
        <f>VLOOKUP($A105,kurspris!$A$1:$Q$262,10,FALSE)</f>
        <v>0</v>
      </c>
      <c r="AJ105" s="32">
        <f>VLOOKUP($A105,kurspris!$A$1:$Q$262,11,FALSE)</f>
        <v>0</v>
      </c>
      <c r="AK105" s="32">
        <f>VLOOKUP($A105,kurspris!$A$1:$Q$262,12,FALSE)</f>
        <v>0</v>
      </c>
      <c r="AL105" s="32">
        <f>VLOOKUP($A105,kurspris!$A$1:$Q$262,13,FALSE)</f>
        <v>0</v>
      </c>
      <c r="AM105" s="32">
        <f>VLOOKUP($A105,kurspris!$A$1:$Q$262,14,FALSE)</f>
        <v>0</v>
      </c>
      <c r="AN105" s="38" t="s">
        <v>946</v>
      </c>
      <c r="AO105"/>
      <c r="AP105" s="32">
        <f t="shared" si="88"/>
        <v>0</v>
      </c>
      <c r="AQ105" s="234">
        <f t="shared" si="89"/>
        <v>0</v>
      </c>
      <c r="AR105" s="32">
        <f t="shared" si="90"/>
        <v>0</v>
      </c>
      <c r="AS105" s="234">
        <f t="shared" si="91"/>
        <v>0</v>
      </c>
      <c r="AT105" s="32">
        <f t="shared" si="92"/>
        <v>0</v>
      </c>
      <c r="AU105" s="32">
        <f t="shared" si="93"/>
        <v>0</v>
      </c>
      <c r="AV105" s="32">
        <f t="shared" si="94"/>
        <v>0.125</v>
      </c>
      <c r="AW105" s="234">
        <f t="shared" si="95"/>
        <v>0.125</v>
      </c>
      <c r="AX105" s="226">
        <f t="shared" si="96"/>
        <v>0</v>
      </c>
      <c r="AY105" s="234">
        <f t="shared" si="97"/>
        <v>0</v>
      </c>
      <c r="AZ105" s="32">
        <f t="shared" si="98"/>
        <v>0</v>
      </c>
      <c r="BA105" s="234">
        <f t="shared" si="99"/>
        <v>0</v>
      </c>
      <c r="BB105" s="32">
        <f t="shared" si="100"/>
        <v>0</v>
      </c>
      <c r="BC105" s="234">
        <f t="shared" si="101"/>
        <v>0</v>
      </c>
      <c r="BD105" s="32">
        <f t="shared" si="102"/>
        <v>0</v>
      </c>
      <c r="BE105" s="234">
        <f t="shared" si="103"/>
        <v>0</v>
      </c>
      <c r="BF105" s="32">
        <f t="shared" si="104"/>
        <v>0</v>
      </c>
      <c r="BG105" s="234">
        <f t="shared" si="105"/>
        <v>0</v>
      </c>
      <c r="BH105" s="32">
        <f t="shared" si="106"/>
        <v>0</v>
      </c>
      <c r="BI105" s="32">
        <f t="shared" si="107"/>
        <v>0</v>
      </c>
      <c r="BJ105" s="234">
        <f t="shared" si="108"/>
        <v>0</v>
      </c>
      <c r="BK105" s="32">
        <f t="shared" si="109"/>
        <v>0</v>
      </c>
      <c r="BL105" s="234">
        <f t="shared" si="110"/>
        <v>0</v>
      </c>
    </row>
    <row r="106" spans="1:64" x14ac:dyDescent="0.25">
      <c r="A106" s="162" t="s">
        <v>533</v>
      </c>
      <c r="B106" s="26" t="str">
        <f>VLOOKUP(A106,kurspris!$A$1:$B$304,2,FALSE)</f>
        <v>Specialpedagogik, sociala relationer och kommunikation - grundnivå (VAL, ULV)</v>
      </c>
      <c r="C106" s="351"/>
      <c r="D106" s="32" t="s">
        <v>74</v>
      </c>
      <c r="E106" s="59" t="s">
        <v>928</v>
      </c>
      <c r="F106" s="59" t="s">
        <v>933</v>
      </c>
      <c r="G106" s="32" t="s">
        <v>936</v>
      </c>
      <c r="H106" s="59"/>
      <c r="K106" s="37"/>
      <c r="L106" s="32">
        <v>50</v>
      </c>
      <c r="M106" s="32">
        <v>7.5</v>
      </c>
      <c r="N106" s="32">
        <v>1</v>
      </c>
      <c r="O106" s="234">
        <f t="shared" si="83"/>
        <v>0.125</v>
      </c>
      <c r="P106" s="39">
        <v>1</v>
      </c>
      <c r="Q106" s="234">
        <f t="shared" si="84"/>
        <v>0.125</v>
      </c>
      <c r="R106" s="32">
        <f>VLOOKUP(A106,'Ansvar kurs'!$A$1:$C$399,2,FALSE)</f>
        <v>2193</v>
      </c>
      <c r="S106" s="32" t="str">
        <f>VLOOKUP(R106,Orgenheter!$A$1:$C$166,2,FALSE)</f>
        <v xml:space="preserve">TUV </v>
      </c>
      <c r="T106" s="32" t="str">
        <f>VLOOKUP(R106,Orgenheter!$A$1:$C$166,3,FALSE)</f>
        <v>Sam</v>
      </c>
      <c r="U106" s="37" t="str">
        <f>VLOOKUP(D106,Program!$A$1:$B$34,2,FALSE)</f>
        <v>VAL-projektet</v>
      </c>
      <c r="V106" s="41">
        <f>VLOOKUP(A106,kurspris!$A$1:$Q$225,15,FALSE)</f>
        <v>24104</v>
      </c>
      <c r="W106" s="41">
        <f>VLOOKUP(A106,kurspris!$A$1:$Q$225,16,FALSE)</f>
        <v>31432</v>
      </c>
      <c r="X106" s="41">
        <f t="shared" si="85"/>
        <v>6942</v>
      </c>
      <c r="Y106" s="41">
        <f>VLOOKUP(A106,kurspris!$A$1:$Q$225,17,FALSE)</f>
        <v>5900</v>
      </c>
      <c r="Z106" s="41">
        <f t="shared" si="86"/>
        <v>737.5</v>
      </c>
      <c r="AA106" s="41">
        <f t="shared" si="87"/>
        <v>7679.5</v>
      </c>
      <c r="AB106" s="32">
        <f>VLOOKUP($A106,kurspris!$A$1:$Q$262,3,FALSE)</f>
        <v>0</v>
      </c>
      <c r="AC106" s="32">
        <f>VLOOKUP($A106,kurspris!$A$1:$Q$262,4,FALSE)</f>
        <v>0</v>
      </c>
      <c r="AD106" s="32">
        <f>VLOOKUP($A106,kurspris!$A$1:$Q$262,5,FALSE)</f>
        <v>0</v>
      </c>
      <c r="AE106" s="32">
        <f>VLOOKUP($A106,kurspris!$A$1:$Q$262,6,FALSE)</f>
        <v>1</v>
      </c>
      <c r="AF106" s="32">
        <f>VLOOKUP($A106,kurspris!$A$1:$Q$262,7,FALSE)</f>
        <v>0</v>
      </c>
      <c r="AG106" s="32">
        <f>VLOOKUP($A106,kurspris!$A$1:$Q$262,8,FALSE)</f>
        <v>0</v>
      </c>
      <c r="AH106" s="32">
        <f>VLOOKUP($A106,kurspris!$A$1:$Q$262,9,FALSE)</f>
        <v>0</v>
      </c>
      <c r="AI106" s="32">
        <f>VLOOKUP($A106,kurspris!$A$1:$Q$262,10,FALSE)</f>
        <v>0</v>
      </c>
      <c r="AJ106" s="32">
        <f>VLOOKUP($A106,kurspris!$A$1:$Q$262,11,FALSE)</f>
        <v>0</v>
      </c>
      <c r="AK106" s="32">
        <f>VLOOKUP($A106,kurspris!$A$1:$Q$262,12,FALSE)</f>
        <v>0</v>
      </c>
      <c r="AL106" s="32">
        <f>VLOOKUP($A106,kurspris!$A$1:$Q$262,13,FALSE)</f>
        <v>0</v>
      </c>
      <c r="AM106" s="32">
        <f>VLOOKUP($A106,kurspris!$A$1:$Q$262,14,FALSE)</f>
        <v>0</v>
      </c>
      <c r="AN106" s="38" t="s">
        <v>946</v>
      </c>
      <c r="AO106"/>
      <c r="AP106" s="32">
        <f t="shared" si="88"/>
        <v>0</v>
      </c>
      <c r="AQ106" s="234">
        <f t="shared" si="89"/>
        <v>0</v>
      </c>
      <c r="AR106" s="32">
        <f t="shared" si="90"/>
        <v>0</v>
      </c>
      <c r="AS106" s="234">
        <f t="shared" si="91"/>
        <v>0</v>
      </c>
      <c r="AT106" s="32">
        <f t="shared" si="92"/>
        <v>0</v>
      </c>
      <c r="AU106" s="32">
        <f t="shared" si="93"/>
        <v>0</v>
      </c>
      <c r="AV106" s="32">
        <f t="shared" si="94"/>
        <v>0.125</v>
      </c>
      <c r="AW106" s="234">
        <f t="shared" si="95"/>
        <v>0.125</v>
      </c>
      <c r="AX106" s="226">
        <f t="shared" si="96"/>
        <v>0</v>
      </c>
      <c r="AY106" s="234">
        <f t="shared" si="97"/>
        <v>0</v>
      </c>
      <c r="AZ106" s="32">
        <f t="shared" si="98"/>
        <v>0</v>
      </c>
      <c r="BA106" s="234">
        <f t="shared" si="99"/>
        <v>0</v>
      </c>
      <c r="BB106" s="32">
        <f t="shared" si="100"/>
        <v>0</v>
      </c>
      <c r="BC106" s="234">
        <f t="shared" si="101"/>
        <v>0</v>
      </c>
      <c r="BD106" s="32">
        <f t="shared" si="102"/>
        <v>0</v>
      </c>
      <c r="BE106" s="234">
        <f t="shared" si="103"/>
        <v>0</v>
      </c>
      <c r="BF106" s="32">
        <f t="shared" si="104"/>
        <v>0</v>
      </c>
      <c r="BG106" s="234">
        <f t="shared" si="105"/>
        <v>0</v>
      </c>
      <c r="BH106" s="32">
        <f t="shared" si="106"/>
        <v>0</v>
      </c>
      <c r="BI106" s="32">
        <f t="shared" si="107"/>
        <v>0</v>
      </c>
      <c r="BJ106" s="234">
        <f t="shared" si="108"/>
        <v>0</v>
      </c>
      <c r="BK106" s="32">
        <f t="shared" si="109"/>
        <v>0</v>
      </c>
      <c r="BL106" s="234">
        <f t="shared" si="110"/>
        <v>0</v>
      </c>
    </row>
    <row r="107" spans="1:64" x14ac:dyDescent="0.25">
      <c r="A107" s="221" t="s">
        <v>533</v>
      </c>
      <c r="B107" s="26" t="str">
        <f>VLOOKUP(A107,kurspris!$A$1:$B$304,2,FALSE)</f>
        <v>Specialpedagogik, sociala relationer och kommunikation - grundnivå (VAL, ULV)</v>
      </c>
      <c r="C107" s="56"/>
      <c r="D107" s="32" t="s">
        <v>74</v>
      </c>
      <c r="E107" s="59" t="s">
        <v>929</v>
      </c>
      <c r="F107" s="59" t="s">
        <v>933</v>
      </c>
      <c r="G107" s="59" t="s">
        <v>936</v>
      </c>
      <c r="H107" s="59"/>
      <c r="K107" s="37"/>
      <c r="L107" s="32">
        <v>50</v>
      </c>
      <c r="M107" s="32">
        <v>7.5</v>
      </c>
      <c r="N107" s="32">
        <v>1</v>
      </c>
      <c r="O107" s="234">
        <f t="shared" si="83"/>
        <v>0.125</v>
      </c>
      <c r="P107" s="39">
        <v>1</v>
      </c>
      <c r="Q107" s="234">
        <f t="shared" si="84"/>
        <v>0.125</v>
      </c>
      <c r="R107" s="32">
        <f>VLOOKUP(A107,'Ansvar kurs'!$A$1:$C$399,2,FALSE)</f>
        <v>2193</v>
      </c>
      <c r="S107" s="32" t="str">
        <f>VLOOKUP(R107,Orgenheter!$A$1:$C$166,2,FALSE)</f>
        <v xml:space="preserve">TUV </v>
      </c>
      <c r="T107" s="32" t="str">
        <f>VLOOKUP(R107,Orgenheter!$A$1:$C$166,3,FALSE)</f>
        <v>Sam</v>
      </c>
      <c r="U107" s="37" t="str">
        <f>VLOOKUP(D107,Program!$A$1:$B$34,2,FALSE)</f>
        <v>VAL-projektet</v>
      </c>
      <c r="V107" s="41">
        <f>VLOOKUP(A107,kurspris!$A$1:$Q$225,15,FALSE)</f>
        <v>24104</v>
      </c>
      <c r="W107" s="41">
        <f>VLOOKUP(A107,kurspris!$A$1:$Q$225,16,FALSE)</f>
        <v>31432</v>
      </c>
      <c r="X107" s="41">
        <f t="shared" si="85"/>
        <v>6942</v>
      </c>
      <c r="Y107" s="41">
        <f>VLOOKUP(A107,kurspris!$A$1:$Q$225,17,FALSE)</f>
        <v>5900</v>
      </c>
      <c r="Z107" s="41">
        <f t="shared" si="86"/>
        <v>737.5</v>
      </c>
      <c r="AA107" s="41">
        <f t="shared" si="87"/>
        <v>7679.5</v>
      </c>
      <c r="AB107" s="32">
        <f>VLOOKUP($A107,kurspris!$A$1:$Q$262,3,FALSE)</f>
        <v>0</v>
      </c>
      <c r="AC107" s="32">
        <f>VLOOKUP($A107,kurspris!$A$1:$Q$262,4,FALSE)</f>
        <v>0</v>
      </c>
      <c r="AD107" s="32">
        <f>VLOOKUP($A107,kurspris!$A$1:$Q$262,5,FALSE)</f>
        <v>0</v>
      </c>
      <c r="AE107" s="32">
        <f>VLOOKUP($A107,kurspris!$A$1:$Q$262,6,FALSE)</f>
        <v>1</v>
      </c>
      <c r="AF107" s="32">
        <f>VLOOKUP($A107,kurspris!$A$1:$Q$262,7,FALSE)</f>
        <v>0</v>
      </c>
      <c r="AG107" s="32">
        <f>VLOOKUP($A107,kurspris!$A$1:$Q$262,8,FALSE)</f>
        <v>0</v>
      </c>
      <c r="AH107" s="32">
        <f>VLOOKUP($A107,kurspris!$A$1:$Q$262,9,FALSE)</f>
        <v>0</v>
      </c>
      <c r="AI107" s="32">
        <f>VLOOKUP($A107,kurspris!$A$1:$Q$262,10,FALSE)</f>
        <v>0</v>
      </c>
      <c r="AJ107" s="32">
        <f>VLOOKUP($A107,kurspris!$A$1:$Q$262,11,FALSE)</f>
        <v>0</v>
      </c>
      <c r="AK107" s="32">
        <f>VLOOKUP($A107,kurspris!$A$1:$Q$262,12,FALSE)</f>
        <v>0</v>
      </c>
      <c r="AL107" s="32">
        <f>VLOOKUP($A107,kurspris!$A$1:$Q$262,13,FALSE)</f>
        <v>0</v>
      </c>
      <c r="AM107" s="32">
        <f>VLOOKUP($A107,kurspris!$A$1:$Q$262,14,FALSE)</f>
        <v>0</v>
      </c>
      <c r="AN107" s="38" t="s">
        <v>946</v>
      </c>
      <c r="AP107" s="32">
        <f t="shared" si="88"/>
        <v>0</v>
      </c>
      <c r="AQ107" s="234">
        <f t="shared" si="89"/>
        <v>0</v>
      </c>
      <c r="AR107" s="32">
        <f t="shared" si="90"/>
        <v>0</v>
      </c>
      <c r="AS107" s="234">
        <f t="shared" si="91"/>
        <v>0</v>
      </c>
      <c r="AT107" s="32">
        <f t="shared" si="92"/>
        <v>0</v>
      </c>
      <c r="AU107" s="32">
        <f t="shared" si="93"/>
        <v>0</v>
      </c>
      <c r="AV107" s="32">
        <f t="shared" si="94"/>
        <v>0.125</v>
      </c>
      <c r="AW107" s="234">
        <f t="shared" si="95"/>
        <v>0.125</v>
      </c>
      <c r="AX107" s="226">
        <f t="shared" si="96"/>
        <v>0</v>
      </c>
      <c r="AY107" s="234">
        <f t="shared" si="97"/>
        <v>0</v>
      </c>
      <c r="AZ107" s="32">
        <f t="shared" si="98"/>
        <v>0</v>
      </c>
      <c r="BA107" s="234">
        <f t="shared" si="99"/>
        <v>0</v>
      </c>
      <c r="BB107" s="32">
        <f t="shared" si="100"/>
        <v>0</v>
      </c>
      <c r="BC107" s="234">
        <f t="shared" si="101"/>
        <v>0</v>
      </c>
      <c r="BD107" s="32">
        <f t="shared" si="102"/>
        <v>0</v>
      </c>
      <c r="BE107" s="234">
        <f t="shared" si="103"/>
        <v>0</v>
      </c>
      <c r="BF107" s="32">
        <f t="shared" si="104"/>
        <v>0</v>
      </c>
      <c r="BG107" s="234">
        <f t="shared" si="105"/>
        <v>0</v>
      </c>
      <c r="BH107" s="32">
        <f t="shared" si="106"/>
        <v>0</v>
      </c>
      <c r="BI107" s="32">
        <f t="shared" si="107"/>
        <v>0</v>
      </c>
      <c r="BJ107" s="234">
        <f t="shared" si="108"/>
        <v>0</v>
      </c>
      <c r="BK107" s="32">
        <f t="shared" si="109"/>
        <v>0</v>
      </c>
      <c r="BL107" s="234">
        <f t="shared" si="110"/>
        <v>0</v>
      </c>
    </row>
    <row r="108" spans="1:64" x14ac:dyDescent="0.25">
      <c r="A108" s="392" t="s">
        <v>533</v>
      </c>
      <c r="B108" s="26" t="str">
        <f>VLOOKUP(A108,kurspris!$A$1:$B$304,2,FALSE)</f>
        <v>Specialpedagogik, sociala relationer och kommunikation - grundnivå (VAL, ULV)</v>
      </c>
      <c r="C108" s="56"/>
      <c r="D108" s="32" t="s">
        <v>74</v>
      </c>
      <c r="E108" s="59" t="s">
        <v>925</v>
      </c>
      <c r="F108" s="59" t="s">
        <v>933</v>
      </c>
      <c r="G108" s="59" t="s">
        <v>936</v>
      </c>
      <c r="H108" s="59"/>
      <c r="K108" s="37"/>
      <c r="L108" s="32">
        <v>50</v>
      </c>
      <c r="M108" s="32">
        <v>7.5</v>
      </c>
      <c r="N108" s="32">
        <v>15</v>
      </c>
      <c r="O108" s="234">
        <f t="shared" si="83"/>
        <v>1.875</v>
      </c>
      <c r="P108" s="39">
        <v>1</v>
      </c>
      <c r="Q108" s="234">
        <f t="shared" si="84"/>
        <v>1.875</v>
      </c>
      <c r="R108" s="32">
        <f>VLOOKUP(A108,'Ansvar kurs'!$A$1:$C$399,2,FALSE)</f>
        <v>2193</v>
      </c>
      <c r="S108" s="32" t="str">
        <f>VLOOKUP(R108,Orgenheter!$A$1:$C$166,2,FALSE)</f>
        <v xml:space="preserve">TUV </v>
      </c>
      <c r="T108" s="32" t="str">
        <f>VLOOKUP(R108,Orgenheter!$A$1:$C$166,3,FALSE)</f>
        <v>Sam</v>
      </c>
      <c r="U108" s="37" t="str">
        <f>VLOOKUP(D108,Program!$A$1:$B$34,2,FALSE)</f>
        <v>VAL-projektet</v>
      </c>
      <c r="V108" s="41">
        <f>VLOOKUP(A108,kurspris!$A$1:$Q$225,15,FALSE)</f>
        <v>24104</v>
      </c>
      <c r="W108" s="41">
        <f>VLOOKUP(A108,kurspris!$A$1:$Q$225,16,FALSE)</f>
        <v>31432</v>
      </c>
      <c r="X108" s="41">
        <f t="shared" si="85"/>
        <v>104130</v>
      </c>
      <c r="Y108" s="41">
        <f>VLOOKUP(A108,kurspris!$A$1:$Q$225,17,FALSE)</f>
        <v>5900</v>
      </c>
      <c r="Z108" s="41">
        <f t="shared" si="86"/>
        <v>11062.5</v>
      </c>
      <c r="AA108" s="41">
        <f t="shared" si="87"/>
        <v>115192.5</v>
      </c>
      <c r="AB108" s="32">
        <f>VLOOKUP($A108,kurspris!$A$1:$Q$262,3,FALSE)</f>
        <v>0</v>
      </c>
      <c r="AC108" s="32">
        <f>VLOOKUP($A108,kurspris!$A$1:$Q$262,4,FALSE)</f>
        <v>0</v>
      </c>
      <c r="AD108" s="32">
        <f>VLOOKUP($A108,kurspris!$A$1:$Q$262,5,FALSE)</f>
        <v>0</v>
      </c>
      <c r="AE108" s="32">
        <f>VLOOKUP($A108,kurspris!$A$1:$Q$262,6,FALSE)</f>
        <v>1</v>
      </c>
      <c r="AF108" s="32">
        <f>VLOOKUP($A108,kurspris!$A$1:$Q$262,7,FALSE)</f>
        <v>0</v>
      </c>
      <c r="AG108" s="32">
        <f>VLOOKUP($A108,kurspris!$A$1:$Q$262,8,FALSE)</f>
        <v>0</v>
      </c>
      <c r="AH108" s="32">
        <f>VLOOKUP($A108,kurspris!$A$1:$Q$262,9,FALSE)</f>
        <v>0</v>
      </c>
      <c r="AI108" s="32">
        <f>VLOOKUP($A108,kurspris!$A$1:$Q$262,10,FALSE)</f>
        <v>0</v>
      </c>
      <c r="AJ108" s="32">
        <f>VLOOKUP($A108,kurspris!$A$1:$Q$262,11,FALSE)</f>
        <v>0</v>
      </c>
      <c r="AK108" s="32">
        <f>VLOOKUP($A108,kurspris!$A$1:$Q$262,12,FALSE)</f>
        <v>0</v>
      </c>
      <c r="AL108" s="32">
        <f>VLOOKUP($A108,kurspris!$A$1:$Q$262,13,FALSE)</f>
        <v>0</v>
      </c>
      <c r="AM108" s="32">
        <f>VLOOKUP($A108,kurspris!$A$1:$Q$262,14,FALSE)</f>
        <v>0</v>
      </c>
      <c r="AN108" s="38" t="s">
        <v>946</v>
      </c>
      <c r="AO108"/>
      <c r="AP108" s="32">
        <f t="shared" si="88"/>
        <v>0</v>
      </c>
      <c r="AQ108" s="234">
        <f t="shared" si="89"/>
        <v>0</v>
      </c>
      <c r="AR108" s="32">
        <f t="shared" si="90"/>
        <v>0</v>
      </c>
      <c r="AS108" s="234">
        <f t="shared" si="91"/>
        <v>0</v>
      </c>
      <c r="AT108" s="32">
        <f t="shared" si="92"/>
        <v>0</v>
      </c>
      <c r="AU108" s="32">
        <f t="shared" si="93"/>
        <v>0</v>
      </c>
      <c r="AV108" s="32">
        <f t="shared" si="94"/>
        <v>1.875</v>
      </c>
      <c r="AW108" s="234">
        <f t="shared" si="95"/>
        <v>1.875</v>
      </c>
      <c r="AX108" s="226">
        <f t="shared" si="96"/>
        <v>0</v>
      </c>
      <c r="AY108" s="234">
        <f t="shared" si="97"/>
        <v>0</v>
      </c>
      <c r="AZ108" s="32">
        <f t="shared" si="98"/>
        <v>0</v>
      </c>
      <c r="BA108" s="234">
        <f t="shared" si="99"/>
        <v>0</v>
      </c>
      <c r="BB108" s="32">
        <f t="shared" si="100"/>
        <v>0</v>
      </c>
      <c r="BC108" s="234">
        <f t="shared" si="101"/>
        <v>0</v>
      </c>
      <c r="BD108" s="32">
        <f t="shared" si="102"/>
        <v>0</v>
      </c>
      <c r="BE108" s="234">
        <f t="shared" si="103"/>
        <v>0</v>
      </c>
      <c r="BF108" s="32">
        <f t="shared" si="104"/>
        <v>0</v>
      </c>
      <c r="BG108" s="234">
        <f t="shared" si="105"/>
        <v>0</v>
      </c>
      <c r="BH108" s="32">
        <f t="shared" si="106"/>
        <v>0</v>
      </c>
      <c r="BI108" s="32">
        <f t="shared" si="107"/>
        <v>0</v>
      </c>
      <c r="BJ108" s="234">
        <f t="shared" si="108"/>
        <v>0</v>
      </c>
      <c r="BK108" s="32">
        <f t="shared" si="109"/>
        <v>0</v>
      </c>
      <c r="BL108" s="234">
        <f t="shared" si="110"/>
        <v>0</v>
      </c>
    </row>
    <row r="109" spans="1:64" x14ac:dyDescent="0.25">
      <c r="A109" s="392" t="s">
        <v>533</v>
      </c>
      <c r="B109" s="26" t="str">
        <f>VLOOKUP(A109,kurspris!$A$1:$B$304,2,FALSE)</f>
        <v>Specialpedagogik, sociala relationer och kommunikation - grundnivå (VAL, ULV)</v>
      </c>
      <c r="C109" s="56"/>
      <c r="D109" s="32" t="s">
        <v>74</v>
      </c>
      <c r="E109" s="59" t="s">
        <v>930</v>
      </c>
      <c r="F109" s="59" t="s">
        <v>933</v>
      </c>
      <c r="G109" s="59" t="s">
        <v>936</v>
      </c>
      <c r="H109" s="59"/>
      <c r="K109" s="37"/>
      <c r="L109" s="32">
        <v>50</v>
      </c>
      <c r="M109" s="32">
        <v>7.5</v>
      </c>
      <c r="N109" s="32">
        <v>4</v>
      </c>
      <c r="O109" s="234">
        <f t="shared" si="83"/>
        <v>0.5</v>
      </c>
      <c r="P109" s="39">
        <v>1</v>
      </c>
      <c r="Q109" s="234">
        <f t="shared" si="84"/>
        <v>0.5</v>
      </c>
      <c r="R109" s="32">
        <f>VLOOKUP(A109,'Ansvar kurs'!$A$1:$C$399,2,FALSE)</f>
        <v>2193</v>
      </c>
      <c r="S109" s="32" t="str">
        <f>VLOOKUP(R109,Orgenheter!$A$1:$C$166,2,FALSE)</f>
        <v xml:space="preserve">TUV </v>
      </c>
      <c r="T109" s="32" t="str">
        <f>VLOOKUP(R109,Orgenheter!$A$1:$C$166,3,FALSE)</f>
        <v>Sam</v>
      </c>
      <c r="U109" s="37" t="str">
        <f>VLOOKUP(D109,Program!$A$1:$B$34,2,FALSE)</f>
        <v>VAL-projektet</v>
      </c>
      <c r="V109" s="41">
        <f>VLOOKUP(A109,kurspris!$A$1:$Q$225,15,FALSE)</f>
        <v>24104</v>
      </c>
      <c r="W109" s="41">
        <f>VLOOKUP(A109,kurspris!$A$1:$Q$225,16,FALSE)</f>
        <v>31432</v>
      </c>
      <c r="X109" s="41">
        <f t="shared" si="85"/>
        <v>27768</v>
      </c>
      <c r="Y109" s="41">
        <f>VLOOKUP(A109,kurspris!$A$1:$Q$225,17,FALSE)</f>
        <v>5900</v>
      </c>
      <c r="Z109" s="41">
        <f t="shared" si="86"/>
        <v>2950</v>
      </c>
      <c r="AA109" s="41">
        <f t="shared" si="87"/>
        <v>30718</v>
      </c>
      <c r="AB109" s="32">
        <f>VLOOKUP($A109,kurspris!$A$1:$Q$262,3,FALSE)</f>
        <v>0</v>
      </c>
      <c r="AC109" s="32">
        <f>VLOOKUP($A109,kurspris!$A$1:$Q$262,4,FALSE)</f>
        <v>0</v>
      </c>
      <c r="AD109" s="32">
        <f>VLOOKUP($A109,kurspris!$A$1:$Q$262,5,FALSE)</f>
        <v>0</v>
      </c>
      <c r="AE109" s="32">
        <f>VLOOKUP($A109,kurspris!$A$1:$Q$262,6,FALSE)</f>
        <v>1</v>
      </c>
      <c r="AF109" s="32">
        <f>VLOOKUP($A109,kurspris!$A$1:$Q$262,7,FALSE)</f>
        <v>0</v>
      </c>
      <c r="AG109" s="32">
        <f>VLOOKUP($A109,kurspris!$A$1:$Q$262,8,FALSE)</f>
        <v>0</v>
      </c>
      <c r="AH109" s="32">
        <f>VLOOKUP($A109,kurspris!$A$1:$Q$262,9,FALSE)</f>
        <v>0</v>
      </c>
      <c r="AI109" s="32">
        <f>VLOOKUP($A109,kurspris!$A$1:$Q$262,10,FALSE)</f>
        <v>0</v>
      </c>
      <c r="AJ109" s="32">
        <f>VLOOKUP($A109,kurspris!$A$1:$Q$262,11,FALSE)</f>
        <v>0</v>
      </c>
      <c r="AK109" s="32">
        <f>VLOOKUP($A109,kurspris!$A$1:$Q$262,12,FALSE)</f>
        <v>0</v>
      </c>
      <c r="AL109" s="32">
        <f>VLOOKUP($A109,kurspris!$A$1:$Q$262,13,FALSE)</f>
        <v>0</v>
      </c>
      <c r="AM109" s="32">
        <f>VLOOKUP($A109,kurspris!$A$1:$Q$262,14,FALSE)</f>
        <v>0</v>
      </c>
      <c r="AN109" s="38" t="s">
        <v>946</v>
      </c>
      <c r="AP109" s="32">
        <f t="shared" si="88"/>
        <v>0</v>
      </c>
      <c r="AQ109" s="234">
        <f t="shared" si="89"/>
        <v>0</v>
      </c>
      <c r="AR109" s="32">
        <f t="shared" si="90"/>
        <v>0</v>
      </c>
      <c r="AS109" s="234">
        <f t="shared" si="91"/>
        <v>0</v>
      </c>
      <c r="AT109" s="32">
        <f t="shared" si="92"/>
        <v>0</v>
      </c>
      <c r="AU109" s="32">
        <f t="shared" si="93"/>
        <v>0</v>
      </c>
      <c r="AV109" s="32">
        <f t="shared" si="94"/>
        <v>0.5</v>
      </c>
      <c r="AW109" s="234">
        <f t="shared" si="95"/>
        <v>0.5</v>
      </c>
      <c r="AX109" s="226">
        <f t="shared" si="96"/>
        <v>0</v>
      </c>
      <c r="AY109" s="234">
        <f t="shared" si="97"/>
        <v>0</v>
      </c>
      <c r="AZ109" s="32">
        <f t="shared" si="98"/>
        <v>0</v>
      </c>
      <c r="BA109" s="234">
        <f t="shared" si="99"/>
        <v>0</v>
      </c>
      <c r="BB109" s="32">
        <f t="shared" si="100"/>
        <v>0</v>
      </c>
      <c r="BC109" s="234">
        <f t="shared" si="101"/>
        <v>0</v>
      </c>
      <c r="BD109" s="32">
        <f t="shared" si="102"/>
        <v>0</v>
      </c>
      <c r="BE109" s="234">
        <f t="shared" si="103"/>
        <v>0</v>
      </c>
      <c r="BF109" s="32">
        <f t="shared" si="104"/>
        <v>0</v>
      </c>
      <c r="BG109" s="234">
        <f t="shared" si="105"/>
        <v>0</v>
      </c>
      <c r="BH109" s="32">
        <f t="shared" si="106"/>
        <v>0</v>
      </c>
      <c r="BI109" s="32">
        <f t="shared" si="107"/>
        <v>0</v>
      </c>
      <c r="BJ109" s="234">
        <f t="shared" si="108"/>
        <v>0</v>
      </c>
      <c r="BK109" s="32">
        <f t="shared" si="109"/>
        <v>0</v>
      </c>
      <c r="BL109" s="234">
        <f t="shared" si="110"/>
        <v>0</v>
      </c>
    </row>
    <row r="110" spans="1:64" x14ac:dyDescent="0.25">
      <c r="A110" s="221" t="s">
        <v>533</v>
      </c>
      <c r="B110" s="26" t="str">
        <f>VLOOKUP(A110,kurspris!$A$1:$B$304,2,FALSE)</f>
        <v>Specialpedagogik, sociala relationer och kommunikation - grundnivå (VAL, ULV)</v>
      </c>
      <c r="C110" s="351"/>
      <c r="D110" s="32" t="s">
        <v>74</v>
      </c>
      <c r="E110" s="59" t="s">
        <v>926</v>
      </c>
      <c r="F110" s="59" t="s">
        <v>933</v>
      </c>
      <c r="G110" s="59" t="s">
        <v>936</v>
      </c>
      <c r="H110" s="59"/>
      <c r="K110" s="37"/>
      <c r="L110" s="32">
        <v>50</v>
      </c>
      <c r="M110" s="32">
        <v>7.5</v>
      </c>
      <c r="N110" s="32">
        <v>2</v>
      </c>
      <c r="O110" s="234">
        <f t="shared" si="83"/>
        <v>0.25</v>
      </c>
      <c r="P110" s="39">
        <v>1</v>
      </c>
      <c r="Q110" s="234">
        <f t="shared" si="84"/>
        <v>0.25</v>
      </c>
      <c r="R110" s="32">
        <f>VLOOKUP(A110,'Ansvar kurs'!$A$1:$C$399,2,FALSE)</f>
        <v>2193</v>
      </c>
      <c r="S110" s="32" t="str">
        <f>VLOOKUP(R110,Orgenheter!$A$1:$C$166,2,FALSE)</f>
        <v xml:space="preserve">TUV </v>
      </c>
      <c r="T110" s="32" t="str">
        <f>VLOOKUP(R110,Orgenheter!$A$1:$C$166,3,FALSE)</f>
        <v>Sam</v>
      </c>
      <c r="U110" s="37" t="str">
        <f>VLOOKUP(D110,Program!$A$1:$B$34,2,FALSE)</f>
        <v>VAL-projektet</v>
      </c>
      <c r="V110" s="41">
        <f>VLOOKUP(A110,kurspris!$A$1:$Q$225,15,FALSE)</f>
        <v>24104</v>
      </c>
      <c r="W110" s="41">
        <f>VLOOKUP(A110,kurspris!$A$1:$Q$225,16,FALSE)</f>
        <v>31432</v>
      </c>
      <c r="X110" s="41">
        <f t="shared" si="85"/>
        <v>13884</v>
      </c>
      <c r="Y110" s="41">
        <f>VLOOKUP(A110,kurspris!$A$1:$Q$225,17,FALSE)</f>
        <v>5900</v>
      </c>
      <c r="Z110" s="41">
        <f t="shared" si="86"/>
        <v>1475</v>
      </c>
      <c r="AA110" s="41">
        <f t="shared" si="87"/>
        <v>15359</v>
      </c>
      <c r="AB110" s="32">
        <f>VLOOKUP($A110,kurspris!$A$1:$Q$262,3,FALSE)</f>
        <v>0</v>
      </c>
      <c r="AC110" s="32">
        <f>VLOOKUP($A110,kurspris!$A$1:$Q$262,4,FALSE)</f>
        <v>0</v>
      </c>
      <c r="AD110" s="32">
        <f>VLOOKUP($A110,kurspris!$A$1:$Q$262,5,FALSE)</f>
        <v>0</v>
      </c>
      <c r="AE110" s="32">
        <f>VLOOKUP($A110,kurspris!$A$1:$Q$262,6,FALSE)</f>
        <v>1</v>
      </c>
      <c r="AF110" s="32">
        <f>VLOOKUP($A110,kurspris!$A$1:$Q$262,7,FALSE)</f>
        <v>0</v>
      </c>
      <c r="AG110" s="32">
        <f>VLOOKUP($A110,kurspris!$A$1:$Q$262,8,FALSE)</f>
        <v>0</v>
      </c>
      <c r="AH110" s="32">
        <f>VLOOKUP($A110,kurspris!$A$1:$Q$262,9,FALSE)</f>
        <v>0</v>
      </c>
      <c r="AI110" s="32">
        <f>VLOOKUP($A110,kurspris!$A$1:$Q$262,10,FALSE)</f>
        <v>0</v>
      </c>
      <c r="AJ110" s="32">
        <f>VLOOKUP($A110,kurspris!$A$1:$Q$262,11,FALSE)</f>
        <v>0</v>
      </c>
      <c r="AK110" s="32">
        <f>VLOOKUP($A110,kurspris!$A$1:$Q$262,12,FALSE)</f>
        <v>0</v>
      </c>
      <c r="AL110" s="32">
        <f>VLOOKUP($A110,kurspris!$A$1:$Q$262,13,FALSE)</f>
        <v>0</v>
      </c>
      <c r="AM110" s="32">
        <f>VLOOKUP($A110,kurspris!$A$1:$Q$262,14,FALSE)</f>
        <v>0</v>
      </c>
      <c r="AN110" s="38" t="s">
        <v>946</v>
      </c>
      <c r="AO110"/>
      <c r="AP110" s="32">
        <f t="shared" si="88"/>
        <v>0</v>
      </c>
      <c r="AQ110" s="234">
        <f t="shared" si="89"/>
        <v>0</v>
      </c>
      <c r="AR110" s="32">
        <f t="shared" si="90"/>
        <v>0</v>
      </c>
      <c r="AS110" s="234">
        <f t="shared" si="91"/>
        <v>0</v>
      </c>
      <c r="AT110" s="32">
        <f t="shared" si="92"/>
        <v>0</v>
      </c>
      <c r="AU110" s="32">
        <f t="shared" si="93"/>
        <v>0</v>
      </c>
      <c r="AV110" s="32">
        <f t="shared" si="94"/>
        <v>0.25</v>
      </c>
      <c r="AW110" s="234">
        <f t="shared" si="95"/>
        <v>0.25</v>
      </c>
      <c r="AX110" s="226">
        <f t="shared" si="96"/>
        <v>0</v>
      </c>
      <c r="AY110" s="234">
        <f t="shared" si="97"/>
        <v>0</v>
      </c>
      <c r="AZ110" s="32">
        <f t="shared" si="98"/>
        <v>0</v>
      </c>
      <c r="BA110" s="234">
        <f t="shared" si="99"/>
        <v>0</v>
      </c>
      <c r="BB110" s="32">
        <f t="shared" si="100"/>
        <v>0</v>
      </c>
      <c r="BC110" s="234">
        <f t="shared" si="101"/>
        <v>0</v>
      </c>
      <c r="BD110" s="32">
        <f t="shared" si="102"/>
        <v>0</v>
      </c>
      <c r="BE110" s="234">
        <f t="shared" si="103"/>
        <v>0</v>
      </c>
      <c r="BF110" s="32">
        <f t="shared" si="104"/>
        <v>0</v>
      </c>
      <c r="BG110" s="234">
        <f t="shared" si="105"/>
        <v>0</v>
      </c>
      <c r="BH110" s="32">
        <f t="shared" si="106"/>
        <v>0</v>
      </c>
      <c r="BI110" s="32">
        <f t="shared" si="107"/>
        <v>0</v>
      </c>
      <c r="BJ110" s="234">
        <f t="shared" si="108"/>
        <v>0</v>
      </c>
      <c r="BK110" s="32">
        <f t="shared" si="109"/>
        <v>0</v>
      </c>
      <c r="BL110" s="234">
        <f t="shared" si="110"/>
        <v>0</v>
      </c>
    </row>
    <row r="111" spans="1:64" x14ac:dyDescent="0.25">
      <c r="A111" s="221" t="s">
        <v>533</v>
      </c>
      <c r="B111" s="26" t="str">
        <f>VLOOKUP(A111,kurspris!$A$1:$B$304,2,FALSE)</f>
        <v>Specialpedagogik, sociala relationer och kommunikation - grundnivå (VAL, ULV)</v>
      </c>
      <c r="C111" s="56"/>
      <c r="D111" s="32" t="s">
        <v>74</v>
      </c>
      <c r="E111" s="59" t="s">
        <v>927</v>
      </c>
      <c r="F111" s="59" t="s">
        <v>933</v>
      </c>
      <c r="G111" s="59" t="s">
        <v>936</v>
      </c>
      <c r="H111" s="59"/>
      <c r="K111" s="37"/>
      <c r="L111" s="32">
        <v>50</v>
      </c>
      <c r="M111" s="32">
        <v>7.5</v>
      </c>
      <c r="N111" s="32">
        <v>4</v>
      </c>
      <c r="O111" s="234">
        <f t="shared" si="83"/>
        <v>0.5</v>
      </c>
      <c r="P111" s="39">
        <v>1</v>
      </c>
      <c r="Q111" s="234">
        <f t="shared" si="84"/>
        <v>0.5</v>
      </c>
      <c r="R111" s="32">
        <f>VLOOKUP(A111,'Ansvar kurs'!$A$1:$C$399,2,FALSE)</f>
        <v>2193</v>
      </c>
      <c r="S111" s="32" t="str">
        <f>VLOOKUP(R111,Orgenheter!$A$1:$C$166,2,FALSE)</f>
        <v xml:space="preserve">TUV </v>
      </c>
      <c r="T111" s="32" t="str">
        <f>VLOOKUP(R111,Orgenheter!$A$1:$C$166,3,FALSE)</f>
        <v>Sam</v>
      </c>
      <c r="U111" s="37" t="str">
        <f>VLOOKUP(D111,Program!$A$1:$B$34,2,FALSE)</f>
        <v>VAL-projektet</v>
      </c>
      <c r="V111" s="41">
        <f>VLOOKUP(A111,kurspris!$A$1:$Q$225,15,FALSE)</f>
        <v>24104</v>
      </c>
      <c r="W111" s="41">
        <f>VLOOKUP(A111,kurspris!$A$1:$Q$225,16,FALSE)</f>
        <v>31432</v>
      </c>
      <c r="X111" s="41">
        <f t="shared" si="85"/>
        <v>27768</v>
      </c>
      <c r="Y111" s="41">
        <f>VLOOKUP(A111,kurspris!$A$1:$Q$225,17,FALSE)</f>
        <v>5900</v>
      </c>
      <c r="Z111" s="41">
        <f t="shared" si="86"/>
        <v>2950</v>
      </c>
      <c r="AA111" s="41">
        <f t="shared" si="87"/>
        <v>30718</v>
      </c>
      <c r="AB111" s="32">
        <f>VLOOKUP($A111,kurspris!$A$1:$Q$262,3,FALSE)</f>
        <v>0</v>
      </c>
      <c r="AC111" s="32">
        <f>VLOOKUP($A111,kurspris!$A$1:$Q$262,4,FALSE)</f>
        <v>0</v>
      </c>
      <c r="AD111" s="32">
        <f>VLOOKUP($A111,kurspris!$A$1:$Q$262,5,FALSE)</f>
        <v>0</v>
      </c>
      <c r="AE111" s="32">
        <f>VLOOKUP($A111,kurspris!$A$1:$Q$262,6,FALSE)</f>
        <v>1</v>
      </c>
      <c r="AF111" s="32">
        <f>VLOOKUP($A111,kurspris!$A$1:$Q$262,7,FALSE)</f>
        <v>0</v>
      </c>
      <c r="AG111" s="32">
        <f>VLOOKUP($A111,kurspris!$A$1:$Q$262,8,FALSE)</f>
        <v>0</v>
      </c>
      <c r="AH111" s="32">
        <f>VLOOKUP($A111,kurspris!$A$1:$Q$262,9,FALSE)</f>
        <v>0</v>
      </c>
      <c r="AI111" s="32">
        <f>VLOOKUP($A111,kurspris!$A$1:$Q$262,10,FALSE)</f>
        <v>0</v>
      </c>
      <c r="AJ111" s="32">
        <f>VLOOKUP($A111,kurspris!$A$1:$Q$262,11,FALSE)</f>
        <v>0</v>
      </c>
      <c r="AK111" s="32">
        <f>VLOOKUP($A111,kurspris!$A$1:$Q$262,12,FALSE)</f>
        <v>0</v>
      </c>
      <c r="AL111" s="32">
        <f>VLOOKUP($A111,kurspris!$A$1:$Q$262,13,FALSE)</f>
        <v>0</v>
      </c>
      <c r="AM111" s="32">
        <f>VLOOKUP($A111,kurspris!$A$1:$Q$262,14,FALSE)</f>
        <v>0</v>
      </c>
      <c r="AN111" s="38" t="s">
        <v>946</v>
      </c>
      <c r="AP111" s="32">
        <f t="shared" si="88"/>
        <v>0</v>
      </c>
      <c r="AQ111" s="234">
        <f t="shared" si="89"/>
        <v>0</v>
      </c>
      <c r="AR111" s="32">
        <f t="shared" si="90"/>
        <v>0</v>
      </c>
      <c r="AS111" s="234">
        <f t="shared" si="91"/>
        <v>0</v>
      </c>
      <c r="AT111" s="32">
        <f t="shared" si="92"/>
        <v>0</v>
      </c>
      <c r="AU111" s="32">
        <f t="shared" si="93"/>
        <v>0</v>
      </c>
      <c r="AV111" s="32">
        <f t="shared" si="94"/>
        <v>0.5</v>
      </c>
      <c r="AW111" s="234">
        <f t="shared" si="95"/>
        <v>0.5</v>
      </c>
      <c r="AX111" s="226">
        <f t="shared" si="96"/>
        <v>0</v>
      </c>
      <c r="AY111" s="234">
        <f t="shared" si="97"/>
        <v>0</v>
      </c>
      <c r="AZ111" s="32">
        <f t="shared" si="98"/>
        <v>0</v>
      </c>
      <c r="BA111" s="234">
        <f t="shared" si="99"/>
        <v>0</v>
      </c>
      <c r="BB111" s="32">
        <f t="shared" si="100"/>
        <v>0</v>
      </c>
      <c r="BC111" s="234">
        <f t="shared" si="101"/>
        <v>0</v>
      </c>
      <c r="BD111" s="32">
        <f t="shared" si="102"/>
        <v>0</v>
      </c>
      <c r="BE111" s="234">
        <f t="shared" si="103"/>
        <v>0</v>
      </c>
      <c r="BF111" s="32">
        <f t="shared" si="104"/>
        <v>0</v>
      </c>
      <c r="BG111" s="234">
        <f t="shared" si="105"/>
        <v>0</v>
      </c>
      <c r="BH111" s="32">
        <f t="shared" si="106"/>
        <v>0</v>
      </c>
      <c r="BI111" s="32">
        <f t="shared" si="107"/>
        <v>0</v>
      </c>
      <c r="BJ111" s="234">
        <f t="shared" si="108"/>
        <v>0</v>
      </c>
      <c r="BK111" s="32">
        <f t="shared" si="109"/>
        <v>0</v>
      </c>
      <c r="BL111" s="234">
        <f t="shared" si="110"/>
        <v>0</v>
      </c>
    </row>
    <row r="112" spans="1:64" x14ac:dyDescent="0.25">
      <c r="A112" s="221" t="s">
        <v>535</v>
      </c>
      <c r="B112" s="26" t="str">
        <f>VLOOKUP(A112,kurspris!$A$1:$B$304,2,FALSE)</f>
        <v>Uppdrag, ledarskap och undervisning - grundnivå (VAL, ULV)</v>
      </c>
      <c r="C112" s="56"/>
      <c r="D112" s="32" t="s">
        <v>74</v>
      </c>
      <c r="E112" s="59" t="s">
        <v>928</v>
      </c>
      <c r="F112" s="59" t="s">
        <v>933</v>
      </c>
      <c r="G112" s="59" t="s">
        <v>937</v>
      </c>
      <c r="H112" s="59"/>
      <c r="J112" s="59"/>
      <c r="K112" s="37"/>
      <c r="L112" s="32">
        <v>50</v>
      </c>
      <c r="M112" s="32">
        <v>7.5</v>
      </c>
      <c r="N112" s="32">
        <v>2</v>
      </c>
      <c r="O112" s="234">
        <f t="shared" si="83"/>
        <v>0.25</v>
      </c>
      <c r="P112" s="39">
        <v>1</v>
      </c>
      <c r="Q112" s="234">
        <f t="shared" si="84"/>
        <v>0.25</v>
      </c>
      <c r="R112" s="32">
        <f>VLOOKUP(A112,'Ansvar kurs'!$A$1:$C$399,2,FALSE)</f>
        <v>2180</v>
      </c>
      <c r="S112" s="32" t="str">
        <f>VLOOKUP(R112,Orgenheter!$A$1:$C$166,2,FALSE)</f>
        <v xml:space="preserve">Pedagogik                     </v>
      </c>
      <c r="T112" s="32" t="str">
        <f>VLOOKUP(R112,Orgenheter!$A$1:$C$166,3,FALSE)</f>
        <v>Sam</v>
      </c>
      <c r="U112" s="37" t="str">
        <f>VLOOKUP(D112,Program!$A$1:$B$34,2,FALSE)</f>
        <v>VAL-projektet</v>
      </c>
      <c r="V112" s="41">
        <f>VLOOKUP(A112,kurspris!$A$1:$Q$225,15,FALSE)</f>
        <v>24104</v>
      </c>
      <c r="W112" s="41">
        <f>VLOOKUP(A112,kurspris!$A$1:$Q$225,16,FALSE)</f>
        <v>31432</v>
      </c>
      <c r="X112" s="41">
        <f t="shared" si="85"/>
        <v>13884</v>
      </c>
      <c r="Y112" s="41">
        <f>VLOOKUP(A112,kurspris!$A$1:$Q$225,17,FALSE)</f>
        <v>5900</v>
      </c>
      <c r="Z112" s="41">
        <f t="shared" si="86"/>
        <v>1475</v>
      </c>
      <c r="AA112" s="41">
        <f t="shared" si="87"/>
        <v>15359</v>
      </c>
      <c r="AB112" s="32">
        <f>VLOOKUP($A112,kurspris!$A$1:$Q$262,3,FALSE)</f>
        <v>0</v>
      </c>
      <c r="AC112" s="32">
        <f>VLOOKUP($A112,kurspris!$A$1:$Q$262,4,FALSE)</f>
        <v>0</v>
      </c>
      <c r="AD112" s="32">
        <f>VLOOKUP($A112,kurspris!$A$1:$Q$262,5,FALSE)</f>
        <v>0</v>
      </c>
      <c r="AE112" s="32">
        <f>VLOOKUP($A112,kurspris!$A$1:$Q$262,6,FALSE)</f>
        <v>1</v>
      </c>
      <c r="AF112" s="32">
        <f>VLOOKUP($A112,kurspris!$A$1:$Q$262,7,FALSE)</f>
        <v>0</v>
      </c>
      <c r="AG112" s="32">
        <f>VLOOKUP($A112,kurspris!$A$1:$Q$262,8,FALSE)</f>
        <v>0</v>
      </c>
      <c r="AH112" s="32">
        <f>VLOOKUP($A112,kurspris!$A$1:$Q$262,9,FALSE)</f>
        <v>0</v>
      </c>
      <c r="AI112" s="32">
        <f>VLOOKUP($A112,kurspris!$A$1:$Q$262,10,FALSE)</f>
        <v>0</v>
      </c>
      <c r="AJ112" s="32">
        <f>VLOOKUP($A112,kurspris!$A$1:$Q$262,11,FALSE)</f>
        <v>0</v>
      </c>
      <c r="AK112" s="32">
        <f>VLOOKUP($A112,kurspris!$A$1:$Q$262,12,FALSE)</f>
        <v>0</v>
      </c>
      <c r="AL112" s="32">
        <f>VLOOKUP($A112,kurspris!$A$1:$Q$262,13,FALSE)</f>
        <v>0</v>
      </c>
      <c r="AM112" s="32">
        <f>VLOOKUP($A112,kurspris!$A$1:$Q$262,14,FALSE)</f>
        <v>0</v>
      </c>
      <c r="AN112" s="38" t="s">
        <v>946</v>
      </c>
      <c r="AP112" s="32">
        <f t="shared" si="88"/>
        <v>0</v>
      </c>
      <c r="AQ112" s="234">
        <f t="shared" si="89"/>
        <v>0</v>
      </c>
      <c r="AR112" s="32">
        <f t="shared" si="90"/>
        <v>0</v>
      </c>
      <c r="AS112" s="234">
        <f t="shared" si="91"/>
        <v>0</v>
      </c>
      <c r="AT112" s="32">
        <f t="shared" si="92"/>
        <v>0</v>
      </c>
      <c r="AU112" s="32">
        <f t="shared" si="93"/>
        <v>0</v>
      </c>
      <c r="AV112" s="32">
        <f t="shared" si="94"/>
        <v>0.25</v>
      </c>
      <c r="AW112" s="234">
        <f t="shared" si="95"/>
        <v>0.25</v>
      </c>
      <c r="AX112" s="226">
        <f t="shared" si="96"/>
        <v>0</v>
      </c>
      <c r="AY112" s="234">
        <f t="shared" si="97"/>
        <v>0</v>
      </c>
      <c r="AZ112" s="32">
        <f t="shared" si="98"/>
        <v>0</v>
      </c>
      <c r="BA112" s="234">
        <f t="shared" si="99"/>
        <v>0</v>
      </c>
      <c r="BB112" s="32">
        <f t="shared" si="100"/>
        <v>0</v>
      </c>
      <c r="BC112" s="234">
        <f t="shared" si="101"/>
        <v>0</v>
      </c>
      <c r="BD112" s="32">
        <f t="shared" si="102"/>
        <v>0</v>
      </c>
      <c r="BE112" s="234">
        <f t="shared" si="103"/>
        <v>0</v>
      </c>
      <c r="BF112" s="32">
        <f t="shared" si="104"/>
        <v>0</v>
      </c>
      <c r="BG112" s="234">
        <f t="shared" si="105"/>
        <v>0</v>
      </c>
      <c r="BH112" s="32">
        <f t="shared" si="106"/>
        <v>0</v>
      </c>
      <c r="BI112" s="32">
        <f t="shared" si="107"/>
        <v>0</v>
      </c>
      <c r="BJ112" s="234">
        <f t="shared" si="108"/>
        <v>0</v>
      </c>
      <c r="BK112" s="32">
        <f t="shared" si="109"/>
        <v>0</v>
      </c>
      <c r="BL112" s="234">
        <f t="shared" si="110"/>
        <v>0</v>
      </c>
    </row>
    <row r="113" spans="1:64" x14ac:dyDescent="0.25">
      <c r="A113" s="162" t="s">
        <v>535</v>
      </c>
      <c r="B113" s="26" t="str">
        <f>VLOOKUP(A113,kurspris!$A$1:$B$304,2,FALSE)</f>
        <v>Uppdrag, ledarskap och undervisning - grundnivå (VAL, ULV)</v>
      </c>
      <c r="C113" s="351"/>
      <c r="D113" s="32" t="s">
        <v>74</v>
      </c>
      <c r="E113" s="59" t="s">
        <v>929</v>
      </c>
      <c r="F113" s="59" t="s">
        <v>933</v>
      </c>
      <c r="G113" s="32" t="s">
        <v>937</v>
      </c>
      <c r="H113" s="59"/>
      <c r="K113" s="37"/>
      <c r="L113" s="32">
        <v>50</v>
      </c>
      <c r="M113" s="32">
        <v>7.5</v>
      </c>
      <c r="N113" s="32">
        <v>3</v>
      </c>
      <c r="O113" s="234">
        <f t="shared" si="83"/>
        <v>0.375</v>
      </c>
      <c r="P113" s="39">
        <v>1</v>
      </c>
      <c r="Q113" s="234">
        <f t="shared" si="84"/>
        <v>0.375</v>
      </c>
      <c r="R113" s="32">
        <f>VLOOKUP(A113,'Ansvar kurs'!$A$1:$C$399,2,FALSE)</f>
        <v>2180</v>
      </c>
      <c r="S113" s="32" t="str">
        <f>VLOOKUP(R113,Orgenheter!$A$1:$C$166,2,FALSE)</f>
        <v xml:space="preserve">Pedagogik                     </v>
      </c>
      <c r="T113" s="32" t="str">
        <f>VLOOKUP(R113,Orgenheter!$A$1:$C$166,3,FALSE)</f>
        <v>Sam</v>
      </c>
      <c r="U113" s="37" t="str">
        <f>VLOOKUP(D113,Program!$A$1:$B$34,2,FALSE)</f>
        <v>VAL-projektet</v>
      </c>
      <c r="V113" s="41">
        <f>VLOOKUP(A113,kurspris!$A$1:$Q$225,15,FALSE)</f>
        <v>24104</v>
      </c>
      <c r="W113" s="41">
        <f>VLOOKUP(A113,kurspris!$A$1:$Q$225,16,FALSE)</f>
        <v>31432</v>
      </c>
      <c r="X113" s="41">
        <f t="shared" si="85"/>
        <v>20826</v>
      </c>
      <c r="Y113" s="41">
        <f>VLOOKUP(A113,kurspris!$A$1:$Q$225,17,FALSE)</f>
        <v>5900</v>
      </c>
      <c r="Z113" s="41">
        <f t="shared" si="86"/>
        <v>2212.5</v>
      </c>
      <c r="AA113" s="41">
        <f t="shared" si="87"/>
        <v>23038.5</v>
      </c>
      <c r="AB113" s="32">
        <f>VLOOKUP($A113,kurspris!$A$1:$Q$262,3,FALSE)</f>
        <v>0</v>
      </c>
      <c r="AC113" s="32">
        <f>VLOOKUP($A113,kurspris!$A$1:$Q$262,4,FALSE)</f>
        <v>0</v>
      </c>
      <c r="AD113" s="32">
        <f>VLOOKUP($A113,kurspris!$A$1:$Q$262,5,FALSE)</f>
        <v>0</v>
      </c>
      <c r="AE113" s="32">
        <f>VLOOKUP($A113,kurspris!$A$1:$Q$262,6,FALSE)</f>
        <v>1</v>
      </c>
      <c r="AF113" s="32">
        <f>VLOOKUP($A113,kurspris!$A$1:$Q$262,7,FALSE)</f>
        <v>0</v>
      </c>
      <c r="AG113" s="32">
        <f>VLOOKUP($A113,kurspris!$A$1:$Q$262,8,FALSE)</f>
        <v>0</v>
      </c>
      <c r="AH113" s="32">
        <f>VLOOKUP($A113,kurspris!$A$1:$Q$262,9,FALSE)</f>
        <v>0</v>
      </c>
      <c r="AI113" s="32">
        <f>VLOOKUP($A113,kurspris!$A$1:$Q$262,10,FALSE)</f>
        <v>0</v>
      </c>
      <c r="AJ113" s="32">
        <f>VLOOKUP($A113,kurspris!$A$1:$Q$262,11,FALSE)</f>
        <v>0</v>
      </c>
      <c r="AK113" s="32">
        <f>VLOOKUP($A113,kurspris!$A$1:$Q$262,12,FALSE)</f>
        <v>0</v>
      </c>
      <c r="AL113" s="32">
        <f>VLOOKUP($A113,kurspris!$A$1:$Q$262,13,FALSE)</f>
        <v>0</v>
      </c>
      <c r="AM113" s="32">
        <f>VLOOKUP($A113,kurspris!$A$1:$Q$262,14,FALSE)</f>
        <v>0</v>
      </c>
      <c r="AN113" s="38" t="s">
        <v>946</v>
      </c>
      <c r="AP113" s="32">
        <f t="shared" si="88"/>
        <v>0</v>
      </c>
      <c r="AQ113" s="234">
        <f t="shared" si="89"/>
        <v>0</v>
      </c>
      <c r="AR113" s="32">
        <f t="shared" si="90"/>
        <v>0</v>
      </c>
      <c r="AS113" s="234">
        <f t="shared" si="91"/>
        <v>0</v>
      </c>
      <c r="AT113" s="32">
        <f t="shared" si="92"/>
        <v>0</v>
      </c>
      <c r="AU113" s="32">
        <f t="shared" si="93"/>
        <v>0</v>
      </c>
      <c r="AV113" s="32">
        <f t="shared" si="94"/>
        <v>0.375</v>
      </c>
      <c r="AW113" s="234">
        <f t="shared" si="95"/>
        <v>0.375</v>
      </c>
      <c r="AX113" s="226">
        <f t="shared" si="96"/>
        <v>0</v>
      </c>
      <c r="AY113" s="234">
        <f t="shared" si="97"/>
        <v>0</v>
      </c>
      <c r="AZ113" s="32">
        <f t="shared" si="98"/>
        <v>0</v>
      </c>
      <c r="BA113" s="234">
        <f t="shared" si="99"/>
        <v>0</v>
      </c>
      <c r="BB113" s="32">
        <f t="shared" si="100"/>
        <v>0</v>
      </c>
      <c r="BC113" s="234">
        <f t="shared" si="101"/>
        <v>0</v>
      </c>
      <c r="BD113" s="32">
        <f t="shared" si="102"/>
        <v>0</v>
      </c>
      <c r="BE113" s="234">
        <f t="shared" si="103"/>
        <v>0</v>
      </c>
      <c r="BF113" s="32">
        <f t="shared" si="104"/>
        <v>0</v>
      </c>
      <c r="BG113" s="234">
        <f t="shared" si="105"/>
        <v>0</v>
      </c>
      <c r="BH113" s="32">
        <f t="shared" si="106"/>
        <v>0</v>
      </c>
      <c r="BI113" s="32">
        <f t="shared" si="107"/>
        <v>0</v>
      </c>
      <c r="BJ113" s="234">
        <f t="shared" si="108"/>
        <v>0</v>
      </c>
      <c r="BK113" s="32">
        <f t="shared" si="109"/>
        <v>0</v>
      </c>
      <c r="BL113" s="234">
        <f t="shared" si="110"/>
        <v>0</v>
      </c>
    </row>
    <row r="114" spans="1:64" x14ac:dyDescent="0.25">
      <c r="A114" s="221" t="s">
        <v>535</v>
      </c>
      <c r="B114" s="26" t="str">
        <f>VLOOKUP(A114,kurspris!$A$1:$B$304,2,FALSE)</f>
        <v>Uppdrag, ledarskap och undervisning - grundnivå (VAL, ULV)</v>
      </c>
      <c r="C114" s="56"/>
      <c r="D114" s="32" t="s">
        <v>74</v>
      </c>
      <c r="E114" s="59" t="s">
        <v>925</v>
      </c>
      <c r="F114" s="59" t="s">
        <v>933</v>
      </c>
      <c r="G114" s="59" t="s">
        <v>937</v>
      </c>
      <c r="H114" s="59"/>
      <c r="K114" s="37"/>
      <c r="L114" s="32">
        <v>50</v>
      </c>
      <c r="M114" s="32">
        <v>7.5</v>
      </c>
      <c r="N114" s="32">
        <v>20</v>
      </c>
      <c r="O114" s="234">
        <f t="shared" si="83"/>
        <v>2.5</v>
      </c>
      <c r="P114" s="39">
        <v>1</v>
      </c>
      <c r="Q114" s="234">
        <f t="shared" si="84"/>
        <v>2.5</v>
      </c>
      <c r="R114" s="32">
        <f>VLOOKUP(A114,'Ansvar kurs'!$A$1:$C$399,2,FALSE)</f>
        <v>2180</v>
      </c>
      <c r="S114" s="32" t="str">
        <f>VLOOKUP(R114,Orgenheter!$A$1:$C$166,2,FALSE)</f>
        <v xml:space="preserve">Pedagogik                     </v>
      </c>
      <c r="T114" s="32" t="str">
        <f>VLOOKUP(R114,Orgenheter!$A$1:$C$166,3,FALSE)</f>
        <v>Sam</v>
      </c>
      <c r="U114" s="37" t="str">
        <f>VLOOKUP(D114,Program!$A$1:$B$34,2,FALSE)</f>
        <v>VAL-projektet</v>
      </c>
      <c r="V114" s="41">
        <f>VLOOKUP(A114,kurspris!$A$1:$Q$225,15,FALSE)</f>
        <v>24104</v>
      </c>
      <c r="W114" s="41">
        <f>VLOOKUP(A114,kurspris!$A$1:$Q$225,16,FALSE)</f>
        <v>31432</v>
      </c>
      <c r="X114" s="41">
        <f t="shared" si="85"/>
        <v>138840</v>
      </c>
      <c r="Y114" s="41">
        <f>VLOOKUP(A114,kurspris!$A$1:$Q$225,17,FALSE)</f>
        <v>5900</v>
      </c>
      <c r="Z114" s="41">
        <f t="shared" si="86"/>
        <v>14750</v>
      </c>
      <c r="AA114" s="41">
        <f t="shared" si="87"/>
        <v>153590</v>
      </c>
      <c r="AB114" s="32">
        <f>VLOOKUP($A114,kurspris!$A$1:$Q$262,3,FALSE)</f>
        <v>0</v>
      </c>
      <c r="AC114" s="32">
        <f>VLOOKUP($A114,kurspris!$A$1:$Q$262,4,FALSE)</f>
        <v>0</v>
      </c>
      <c r="AD114" s="32">
        <f>VLOOKUP($A114,kurspris!$A$1:$Q$262,5,FALSE)</f>
        <v>0</v>
      </c>
      <c r="AE114" s="32">
        <f>VLOOKUP($A114,kurspris!$A$1:$Q$262,6,FALSE)</f>
        <v>1</v>
      </c>
      <c r="AF114" s="32">
        <f>VLOOKUP($A114,kurspris!$A$1:$Q$262,7,FALSE)</f>
        <v>0</v>
      </c>
      <c r="AG114" s="32">
        <f>VLOOKUP($A114,kurspris!$A$1:$Q$262,8,FALSE)</f>
        <v>0</v>
      </c>
      <c r="AH114" s="32">
        <f>VLOOKUP($A114,kurspris!$A$1:$Q$262,9,FALSE)</f>
        <v>0</v>
      </c>
      <c r="AI114" s="32">
        <f>VLOOKUP($A114,kurspris!$A$1:$Q$262,10,FALSE)</f>
        <v>0</v>
      </c>
      <c r="AJ114" s="32">
        <f>VLOOKUP($A114,kurspris!$A$1:$Q$262,11,FALSE)</f>
        <v>0</v>
      </c>
      <c r="AK114" s="32">
        <f>VLOOKUP($A114,kurspris!$A$1:$Q$262,12,FALSE)</f>
        <v>0</v>
      </c>
      <c r="AL114" s="32">
        <f>VLOOKUP($A114,kurspris!$A$1:$Q$262,13,FALSE)</f>
        <v>0</v>
      </c>
      <c r="AM114" s="32">
        <f>VLOOKUP($A114,kurspris!$A$1:$Q$262,14,FALSE)</f>
        <v>0</v>
      </c>
      <c r="AN114" s="38" t="s">
        <v>946</v>
      </c>
      <c r="AP114" s="32">
        <f t="shared" si="88"/>
        <v>0</v>
      </c>
      <c r="AQ114" s="234">
        <f t="shared" si="89"/>
        <v>0</v>
      </c>
      <c r="AR114" s="32">
        <f t="shared" si="90"/>
        <v>0</v>
      </c>
      <c r="AS114" s="234">
        <f t="shared" si="91"/>
        <v>0</v>
      </c>
      <c r="AT114" s="32">
        <f t="shared" si="92"/>
        <v>0</v>
      </c>
      <c r="AU114" s="32">
        <f t="shared" si="93"/>
        <v>0</v>
      </c>
      <c r="AV114" s="32">
        <f t="shared" si="94"/>
        <v>2.5</v>
      </c>
      <c r="AW114" s="234">
        <f t="shared" si="95"/>
        <v>2.5</v>
      </c>
      <c r="AX114" s="226">
        <f t="shared" si="96"/>
        <v>0</v>
      </c>
      <c r="AY114" s="234">
        <f t="shared" si="97"/>
        <v>0</v>
      </c>
      <c r="AZ114" s="32">
        <f t="shared" si="98"/>
        <v>0</v>
      </c>
      <c r="BA114" s="234">
        <f t="shared" si="99"/>
        <v>0</v>
      </c>
      <c r="BB114" s="32">
        <f t="shared" si="100"/>
        <v>0</v>
      </c>
      <c r="BC114" s="234">
        <f t="shared" si="101"/>
        <v>0</v>
      </c>
      <c r="BD114" s="32">
        <f t="shared" si="102"/>
        <v>0</v>
      </c>
      <c r="BE114" s="234">
        <f t="shared" si="103"/>
        <v>0</v>
      </c>
      <c r="BF114" s="32">
        <f t="shared" si="104"/>
        <v>0</v>
      </c>
      <c r="BG114" s="234">
        <f t="shared" si="105"/>
        <v>0</v>
      </c>
      <c r="BH114" s="32">
        <f t="shared" si="106"/>
        <v>0</v>
      </c>
      <c r="BI114" s="32">
        <f t="shared" si="107"/>
        <v>0</v>
      </c>
      <c r="BJ114" s="234">
        <f t="shared" si="108"/>
        <v>0</v>
      </c>
      <c r="BK114" s="32">
        <f t="shared" si="109"/>
        <v>0</v>
      </c>
      <c r="BL114" s="234">
        <f t="shared" si="110"/>
        <v>0</v>
      </c>
    </row>
    <row r="115" spans="1:64" x14ac:dyDescent="0.25">
      <c r="A115" s="221" t="s">
        <v>535</v>
      </c>
      <c r="B115" s="26" t="str">
        <f>VLOOKUP(A115,kurspris!$A$1:$B$304,2,FALSE)</f>
        <v>Uppdrag, ledarskap och undervisning - grundnivå (VAL, ULV)</v>
      </c>
      <c r="C115" s="56"/>
      <c r="D115" s="32" t="s">
        <v>74</v>
      </c>
      <c r="E115" s="59" t="s">
        <v>927</v>
      </c>
      <c r="F115" s="59" t="s">
        <v>933</v>
      </c>
      <c r="G115" s="59" t="s">
        <v>937</v>
      </c>
      <c r="H115" s="59"/>
      <c r="K115" s="37"/>
      <c r="L115" s="32">
        <v>50</v>
      </c>
      <c r="M115" s="32">
        <v>7.5</v>
      </c>
      <c r="N115" s="32">
        <v>2</v>
      </c>
      <c r="O115" s="234">
        <f t="shared" si="83"/>
        <v>0.25</v>
      </c>
      <c r="P115" s="39">
        <v>1</v>
      </c>
      <c r="Q115" s="234">
        <f t="shared" si="84"/>
        <v>0.25</v>
      </c>
      <c r="R115" s="32">
        <f>VLOOKUP(A115,'Ansvar kurs'!$A$1:$C$399,2,FALSE)</f>
        <v>2180</v>
      </c>
      <c r="S115" s="32" t="str">
        <f>VLOOKUP(R115,Orgenheter!$A$1:$C$166,2,FALSE)</f>
        <v xml:space="preserve">Pedagogik                     </v>
      </c>
      <c r="T115" s="32" t="str">
        <f>VLOOKUP(R115,Orgenheter!$A$1:$C$166,3,FALSE)</f>
        <v>Sam</v>
      </c>
      <c r="U115" s="37" t="str">
        <f>VLOOKUP(D115,Program!$A$1:$B$34,2,FALSE)</f>
        <v>VAL-projektet</v>
      </c>
      <c r="V115" s="41">
        <f>VLOOKUP(A115,kurspris!$A$1:$Q$225,15,FALSE)</f>
        <v>24104</v>
      </c>
      <c r="W115" s="41">
        <f>VLOOKUP(A115,kurspris!$A$1:$Q$225,16,FALSE)</f>
        <v>31432</v>
      </c>
      <c r="X115" s="41">
        <f t="shared" si="85"/>
        <v>13884</v>
      </c>
      <c r="Y115" s="41">
        <f>VLOOKUP(A115,kurspris!$A$1:$Q$225,17,FALSE)</f>
        <v>5900</v>
      </c>
      <c r="Z115" s="41">
        <f t="shared" si="86"/>
        <v>1475</v>
      </c>
      <c r="AA115" s="41">
        <f t="shared" si="87"/>
        <v>15359</v>
      </c>
      <c r="AB115" s="32">
        <f>VLOOKUP($A115,kurspris!$A$1:$Q$262,3,FALSE)</f>
        <v>0</v>
      </c>
      <c r="AC115" s="32">
        <f>VLOOKUP($A115,kurspris!$A$1:$Q$262,4,FALSE)</f>
        <v>0</v>
      </c>
      <c r="AD115" s="32">
        <f>VLOOKUP($A115,kurspris!$A$1:$Q$262,5,FALSE)</f>
        <v>0</v>
      </c>
      <c r="AE115" s="32">
        <f>VLOOKUP($A115,kurspris!$A$1:$Q$262,6,FALSE)</f>
        <v>1</v>
      </c>
      <c r="AF115" s="32">
        <f>VLOOKUP($A115,kurspris!$A$1:$Q$262,7,FALSE)</f>
        <v>0</v>
      </c>
      <c r="AG115" s="32">
        <f>VLOOKUP($A115,kurspris!$A$1:$Q$262,8,FALSE)</f>
        <v>0</v>
      </c>
      <c r="AH115" s="32">
        <f>VLOOKUP($A115,kurspris!$A$1:$Q$262,9,FALSE)</f>
        <v>0</v>
      </c>
      <c r="AI115" s="32">
        <f>VLOOKUP($A115,kurspris!$A$1:$Q$262,10,FALSE)</f>
        <v>0</v>
      </c>
      <c r="AJ115" s="32">
        <f>VLOOKUP($A115,kurspris!$A$1:$Q$262,11,FALSE)</f>
        <v>0</v>
      </c>
      <c r="AK115" s="32">
        <f>VLOOKUP($A115,kurspris!$A$1:$Q$262,12,FALSE)</f>
        <v>0</v>
      </c>
      <c r="AL115" s="32">
        <f>VLOOKUP($A115,kurspris!$A$1:$Q$262,13,FALSE)</f>
        <v>0</v>
      </c>
      <c r="AM115" s="32">
        <f>VLOOKUP($A115,kurspris!$A$1:$Q$262,14,FALSE)</f>
        <v>0</v>
      </c>
      <c r="AN115" s="38" t="s">
        <v>946</v>
      </c>
      <c r="AP115" s="32">
        <f t="shared" si="88"/>
        <v>0</v>
      </c>
      <c r="AQ115" s="234">
        <f t="shared" si="89"/>
        <v>0</v>
      </c>
      <c r="AR115" s="32">
        <f t="shared" si="90"/>
        <v>0</v>
      </c>
      <c r="AS115" s="234">
        <f t="shared" si="91"/>
        <v>0</v>
      </c>
      <c r="AT115" s="32">
        <f t="shared" si="92"/>
        <v>0</v>
      </c>
      <c r="AU115" s="32">
        <f t="shared" si="93"/>
        <v>0</v>
      </c>
      <c r="AV115" s="32">
        <f t="shared" si="94"/>
        <v>0.25</v>
      </c>
      <c r="AW115" s="234">
        <f t="shared" si="95"/>
        <v>0.25</v>
      </c>
      <c r="AX115" s="226">
        <f t="shared" si="96"/>
        <v>0</v>
      </c>
      <c r="AY115" s="234">
        <f t="shared" si="97"/>
        <v>0</v>
      </c>
      <c r="AZ115" s="32">
        <f t="shared" si="98"/>
        <v>0</v>
      </c>
      <c r="BA115" s="234">
        <f t="shared" si="99"/>
        <v>0</v>
      </c>
      <c r="BB115" s="32">
        <f t="shared" si="100"/>
        <v>0</v>
      </c>
      <c r="BC115" s="234">
        <f t="shared" si="101"/>
        <v>0</v>
      </c>
      <c r="BD115" s="32">
        <f t="shared" si="102"/>
        <v>0</v>
      </c>
      <c r="BE115" s="234">
        <f t="shared" si="103"/>
        <v>0</v>
      </c>
      <c r="BF115" s="32">
        <f t="shared" si="104"/>
        <v>0</v>
      </c>
      <c r="BG115" s="234">
        <f t="shared" si="105"/>
        <v>0</v>
      </c>
      <c r="BH115" s="32">
        <f t="shared" si="106"/>
        <v>0</v>
      </c>
      <c r="BI115" s="32">
        <f t="shared" si="107"/>
        <v>0</v>
      </c>
      <c r="BJ115" s="234">
        <f t="shared" si="108"/>
        <v>0</v>
      </c>
      <c r="BK115" s="32">
        <f t="shared" si="109"/>
        <v>0</v>
      </c>
      <c r="BL115" s="234">
        <f t="shared" si="110"/>
        <v>0</v>
      </c>
    </row>
    <row r="116" spans="1:64" x14ac:dyDescent="0.25">
      <c r="A116" s="221" t="s">
        <v>536</v>
      </c>
      <c r="B116" s="26" t="str">
        <f>VLOOKUP(A116,kurspris!$A$1:$B$304,2,FALSE)</f>
        <v>Undervisning och lärande - läroplansteori och didaktik - grundnivå (VAL, ULV)</v>
      </c>
      <c r="C116" s="351"/>
      <c r="D116" s="32" t="s">
        <v>74</v>
      </c>
      <c r="E116" s="59" t="s">
        <v>928</v>
      </c>
      <c r="F116" s="59" t="s">
        <v>933</v>
      </c>
      <c r="G116" s="59" t="s">
        <v>936</v>
      </c>
      <c r="H116" s="59"/>
      <c r="K116" s="37"/>
      <c r="L116" s="32">
        <v>50</v>
      </c>
      <c r="M116" s="32">
        <v>7.5</v>
      </c>
      <c r="N116" s="32">
        <v>2</v>
      </c>
      <c r="O116" s="234">
        <f t="shared" si="83"/>
        <v>0.25</v>
      </c>
      <c r="P116" s="39">
        <v>1</v>
      </c>
      <c r="Q116" s="234">
        <f t="shared" si="84"/>
        <v>0.25</v>
      </c>
      <c r="R116" s="32">
        <f>VLOOKUP(A116,'Ansvar kurs'!$A$1:$C$399,2,FALSE)</f>
        <v>2180</v>
      </c>
      <c r="S116" s="32" t="str">
        <f>VLOOKUP(R116,Orgenheter!$A$1:$C$166,2,FALSE)</f>
        <v xml:space="preserve">Pedagogik                     </v>
      </c>
      <c r="T116" s="32" t="str">
        <f>VLOOKUP(R116,Orgenheter!$A$1:$C$166,3,FALSE)</f>
        <v>Sam</v>
      </c>
      <c r="U116" s="37" t="str">
        <f>VLOOKUP(D116,Program!$A$1:$B$34,2,FALSE)</f>
        <v>VAL-projektet</v>
      </c>
      <c r="V116" s="41">
        <f>VLOOKUP(A116,kurspris!$A$1:$Q$225,15,FALSE)</f>
        <v>24104</v>
      </c>
      <c r="W116" s="41">
        <f>VLOOKUP(A116,kurspris!$A$1:$Q$225,16,FALSE)</f>
        <v>31432</v>
      </c>
      <c r="X116" s="41">
        <f t="shared" si="85"/>
        <v>13884</v>
      </c>
      <c r="Y116" s="41">
        <f>VLOOKUP(A116,kurspris!$A$1:$Q$225,17,FALSE)</f>
        <v>5900</v>
      </c>
      <c r="Z116" s="41">
        <f t="shared" si="86"/>
        <v>1475</v>
      </c>
      <c r="AA116" s="41">
        <f t="shared" si="87"/>
        <v>15359</v>
      </c>
      <c r="AB116" s="32">
        <f>VLOOKUP($A116,kurspris!$A$1:$Q$262,3,FALSE)</f>
        <v>0</v>
      </c>
      <c r="AC116" s="32">
        <f>VLOOKUP($A116,kurspris!$A$1:$Q$262,4,FALSE)</f>
        <v>0</v>
      </c>
      <c r="AD116" s="32">
        <f>VLOOKUP($A116,kurspris!$A$1:$Q$262,5,FALSE)</f>
        <v>0</v>
      </c>
      <c r="AE116" s="32">
        <f>VLOOKUP($A116,kurspris!$A$1:$Q$262,6,FALSE)</f>
        <v>1</v>
      </c>
      <c r="AF116" s="32">
        <f>VLOOKUP($A116,kurspris!$A$1:$Q$262,7,FALSE)</f>
        <v>0</v>
      </c>
      <c r="AG116" s="32">
        <f>VLOOKUP($A116,kurspris!$A$1:$Q$262,8,FALSE)</f>
        <v>0</v>
      </c>
      <c r="AH116" s="32">
        <f>VLOOKUP($A116,kurspris!$A$1:$Q$262,9,FALSE)</f>
        <v>0</v>
      </c>
      <c r="AI116" s="32">
        <f>VLOOKUP($A116,kurspris!$A$1:$Q$262,10,FALSE)</f>
        <v>0</v>
      </c>
      <c r="AJ116" s="32">
        <f>VLOOKUP($A116,kurspris!$A$1:$Q$262,11,FALSE)</f>
        <v>0</v>
      </c>
      <c r="AK116" s="32">
        <f>VLOOKUP($A116,kurspris!$A$1:$Q$262,12,FALSE)</f>
        <v>0</v>
      </c>
      <c r="AL116" s="32">
        <f>VLOOKUP($A116,kurspris!$A$1:$Q$262,13,FALSE)</f>
        <v>0</v>
      </c>
      <c r="AM116" s="32">
        <f>VLOOKUP($A116,kurspris!$A$1:$Q$262,14,FALSE)</f>
        <v>0</v>
      </c>
      <c r="AN116" s="38" t="s">
        <v>946</v>
      </c>
      <c r="AO116"/>
      <c r="AP116" s="32">
        <f t="shared" si="88"/>
        <v>0</v>
      </c>
      <c r="AQ116" s="234">
        <f t="shared" si="89"/>
        <v>0</v>
      </c>
      <c r="AR116" s="32">
        <f t="shared" si="90"/>
        <v>0</v>
      </c>
      <c r="AS116" s="234">
        <f t="shared" si="91"/>
        <v>0</v>
      </c>
      <c r="AT116" s="32">
        <f t="shared" si="92"/>
        <v>0</v>
      </c>
      <c r="AU116" s="32">
        <f t="shared" si="93"/>
        <v>0</v>
      </c>
      <c r="AV116" s="32">
        <f t="shared" si="94"/>
        <v>0.25</v>
      </c>
      <c r="AW116" s="234">
        <f t="shared" si="95"/>
        <v>0.25</v>
      </c>
      <c r="AX116" s="226">
        <f t="shared" si="96"/>
        <v>0</v>
      </c>
      <c r="AY116" s="234">
        <f t="shared" si="97"/>
        <v>0</v>
      </c>
      <c r="AZ116" s="32">
        <f t="shared" si="98"/>
        <v>0</v>
      </c>
      <c r="BA116" s="234">
        <f t="shared" si="99"/>
        <v>0</v>
      </c>
      <c r="BB116" s="32">
        <f t="shared" si="100"/>
        <v>0</v>
      </c>
      <c r="BC116" s="234">
        <f t="shared" si="101"/>
        <v>0</v>
      </c>
      <c r="BD116" s="32">
        <f t="shared" si="102"/>
        <v>0</v>
      </c>
      <c r="BE116" s="234">
        <f t="shared" si="103"/>
        <v>0</v>
      </c>
      <c r="BF116" s="32">
        <f t="shared" si="104"/>
        <v>0</v>
      </c>
      <c r="BG116" s="234">
        <f t="shared" si="105"/>
        <v>0</v>
      </c>
      <c r="BH116" s="32">
        <f t="shared" si="106"/>
        <v>0</v>
      </c>
      <c r="BI116" s="32">
        <f t="shared" si="107"/>
        <v>0</v>
      </c>
      <c r="BJ116" s="234">
        <f t="shared" si="108"/>
        <v>0</v>
      </c>
      <c r="BK116" s="32">
        <f t="shared" si="109"/>
        <v>0</v>
      </c>
      <c r="BL116" s="234">
        <f t="shared" si="110"/>
        <v>0</v>
      </c>
    </row>
    <row r="117" spans="1:64" x14ac:dyDescent="0.25">
      <c r="A117" s="221" t="s">
        <v>536</v>
      </c>
      <c r="B117" s="26" t="str">
        <f>VLOOKUP(A117,kurspris!$A$1:$B$304,2,FALSE)</f>
        <v>Undervisning och lärande - läroplansteori och didaktik - grundnivå (VAL, ULV)</v>
      </c>
      <c r="C117" s="56"/>
      <c r="D117" s="32" t="s">
        <v>74</v>
      </c>
      <c r="E117" s="59" t="s">
        <v>929</v>
      </c>
      <c r="F117" s="59" t="s">
        <v>933</v>
      </c>
      <c r="G117" s="59" t="s">
        <v>936</v>
      </c>
      <c r="H117" s="59"/>
      <c r="J117" s="59"/>
      <c r="K117" s="37"/>
      <c r="L117" s="32">
        <v>50</v>
      </c>
      <c r="M117" s="32">
        <v>7.5</v>
      </c>
      <c r="N117" s="32">
        <v>6</v>
      </c>
      <c r="O117" s="234">
        <f t="shared" si="83"/>
        <v>0.75</v>
      </c>
      <c r="P117" s="39">
        <v>1</v>
      </c>
      <c r="Q117" s="234">
        <f t="shared" si="84"/>
        <v>0.75</v>
      </c>
      <c r="R117" s="32">
        <f>VLOOKUP(A117,'Ansvar kurs'!$A$1:$C$399,2,FALSE)</f>
        <v>2180</v>
      </c>
      <c r="S117" s="32" t="str">
        <f>VLOOKUP(R117,Orgenheter!$A$1:$C$166,2,FALSE)</f>
        <v xml:space="preserve">Pedagogik                     </v>
      </c>
      <c r="T117" s="32" t="str">
        <f>VLOOKUP(R117,Orgenheter!$A$1:$C$166,3,FALSE)</f>
        <v>Sam</v>
      </c>
      <c r="U117" s="37" t="str">
        <f>VLOOKUP(D117,Program!$A$1:$B$34,2,FALSE)</f>
        <v>VAL-projektet</v>
      </c>
      <c r="V117" s="41">
        <f>VLOOKUP(A117,kurspris!$A$1:$Q$225,15,FALSE)</f>
        <v>24104</v>
      </c>
      <c r="W117" s="41">
        <f>VLOOKUP(A117,kurspris!$A$1:$Q$225,16,FALSE)</f>
        <v>31432</v>
      </c>
      <c r="X117" s="41">
        <f t="shared" si="85"/>
        <v>41652</v>
      </c>
      <c r="Y117" s="41">
        <f>VLOOKUP(A117,kurspris!$A$1:$Q$225,17,FALSE)</f>
        <v>5900</v>
      </c>
      <c r="Z117" s="41">
        <f t="shared" si="86"/>
        <v>4425</v>
      </c>
      <c r="AA117" s="41">
        <f t="shared" si="87"/>
        <v>46077</v>
      </c>
      <c r="AB117" s="32">
        <f>VLOOKUP($A117,kurspris!$A$1:$Q$262,3,FALSE)</f>
        <v>0</v>
      </c>
      <c r="AC117" s="32">
        <f>VLOOKUP($A117,kurspris!$A$1:$Q$262,4,FALSE)</f>
        <v>0</v>
      </c>
      <c r="AD117" s="32">
        <f>VLOOKUP($A117,kurspris!$A$1:$Q$262,5,FALSE)</f>
        <v>0</v>
      </c>
      <c r="AE117" s="32">
        <f>VLOOKUP($A117,kurspris!$A$1:$Q$262,6,FALSE)</f>
        <v>1</v>
      </c>
      <c r="AF117" s="32">
        <f>VLOOKUP($A117,kurspris!$A$1:$Q$262,7,FALSE)</f>
        <v>0</v>
      </c>
      <c r="AG117" s="32">
        <f>VLOOKUP($A117,kurspris!$A$1:$Q$262,8,FALSE)</f>
        <v>0</v>
      </c>
      <c r="AH117" s="32">
        <f>VLOOKUP($A117,kurspris!$A$1:$Q$262,9,FALSE)</f>
        <v>0</v>
      </c>
      <c r="AI117" s="32">
        <f>VLOOKUP($A117,kurspris!$A$1:$Q$262,10,FALSE)</f>
        <v>0</v>
      </c>
      <c r="AJ117" s="32">
        <f>VLOOKUP($A117,kurspris!$A$1:$Q$262,11,FALSE)</f>
        <v>0</v>
      </c>
      <c r="AK117" s="32">
        <f>VLOOKUP($A117,kurspris!$A$1:$Q$262,12,FALSE)</f>
        <v>0</v>
      </c>
      <c r="AL117" s="32">
        <f>VLOOKUP($A117,kurspris!$A$1:$Q$262,13,FALSE)</f>
        <v>0</v>
      </c>
      <c r="AM117" s="32">
        <f>VLOOKUP($A117,kurspris!$A$1:$Q$262,14,FALSE)</f>
        <v>0</v>
      </c>
      <c r="AN117" s="38" t="s">
        <v>946</v>
      </c>
      <c r="AP117" s="32">
        <f t="shared" si="88"/>
        <v>0</v>
      </c>
      <c r="AQ117" s="234">
        <f t="shared" si="89"/>
        <v>0</v>
      </c>
      <c r="AR117" s="32">
        <f t="shared" si="90"/>
        <v>0</v>
      </c>
      <c r="AS117" s="234">
        <f t="shared" si="91"/>
        <v>0</v>
      </c>
      <c r="AT117" s="32">
        <f t="shared" si="92"/>
        <v>0</v>
      </c>
      <c r="AU117" s="32">
        <f t="shared" si="93"/>
        <v>0</v>
      </c>
      <c r="AV117" s="32">
        <f t="shared" si="94"/>
        <v>0.75</v>
      </c>
      <c r="AW117" s="234">
        <f t="shared" si="95"/>
        <v>0.75</v>
      </c>
      <c r="AX117" s="226">
        <f t="shared" si="96"/>
        <v>0</v>
      </c>
      <c r="AY117" s="234">
        <f t="shared" si="97"/>
        <v>0</v>
      </c>
      <c r="AZ117" s="32">
        <f t="shared" si="98"/>
        <v>0</v>
      </c>
      <c r="BA117" s="234">
        <f t="shared" si="99"/>
        <v>0</v>
      </c>
      <c r="BB117" s="32">
        <f t="shared" si="100"/>
        <v>0</v>
      </c>
      <c r="BC117" s="234">
        <f t="shared" si="101"/>
        <v>0</v>
      </c>
      <c r="BD117" s="32">
        <f t="shared" si="102"/>
        <v>0</v>
      </c>
      <c r="BE117" s="234">
        <f t="shared" si="103"/>
        <v>0</v>
      </c>
      <c r="BF117" s="32">
        <f t="shared" si="104"/>
        <v>0</v>
      </c>
      <c r="BG117" s="234">
        <f t="shared" si="105"/>
        <v>0</v>
      </c>
      <c r="BH117" s="32">
        <f t="shared" si="106"/>
        <v>0</v>
      </c>
      <c r="BI117" s="32">
        <f t="shared" si="107"/>
        <v>0</v>
      </c>
      <c r="BJ117" s="234">
        <f t="shared" si="108"/>
        <v>0</v>
      </c>
      <c r="BK117" s="32">
        <f t="shared" si="109"/>
        <v>0</v>
      </c>
      <c r="BL117" s="234">
        <f t="shared" si="110"/>
        <v>0</v>
      </c>
    </row>
    <row r="118" spans="1:64" x14ac:dyDescent="0.25">
      <c r="A118" s="221" t="s">
        <v>536</v>
      </c>
      <c r="B118" s="26" t="str">
        <f>VLOOKUP(A118,kurspris!$A$1:$B$304,2,FALSE)</f>
        <v>Undervisning och lärande - läroplansteori och didaktik - grundnivå (VAL, ULV)</v>
      </c>
      <c r="C118" s="56"/>
      <c r="D118" s="32" t="s">
        <v>74</v>
      </c>
      <c r="E118" s="59" t="s">
        <v>925</v>
      </c>
      <c r="F118" s="59" t="s">
        <v>933</v>
      </c>
      <c r="G118" s="59" t="s">
        <v>936</v>
      </c>
      <c r="H118" s="59"/>
      <c r="J118" s="59"/>
      <c r="K118" s="37"/>
      <c r="L118" s="32">
        <v>50</v>
      </c>
      <c r="M118" s="32">
        <v>7.5</v>
      </c>
      <c r="N118" s="32">
        <v>21</v>
      </c>
      <c r="O118" s="234">
        <f t="shared" si="83"/>
        <v>2.625</v>
      </c>
      <c r="P118" s="39">
        <v>1</v>
      </c>
      <c r="Q118" s="234">
        <f t="shared" si="84"/>
        <v>2.625</v>
      </c>
      <c r="R118" s="32">
        <f>VLOOKUP(A118,'Ansvar kurs'!$A$1:$C$399,2,FALSE)</f>
        <v>2180</v>
      </c>
      <c r="S118" s="32" t="str">
        <f>VLOOKUP(R118,Orgenheter!$A$1:$C$166,2,FALSE)</f>
        <v xml:space="preserve">Pedagogik                     </v>
      </c>
      <c r="T118" s="32" t="str">
        <f>VLOOKUP(R118,Orgenheter!$A$1:$C$166,3,FALSE)</f>
        <v>Sam</v>
      </c>
      <c r="U118" s="37" t="str">
        <f>VLOOKUP(D118,Program!$A$1:$B$34,2,FALSE)</f>
        <v>VAL-projektet</v>
      </c>
      <c r="V118" s="41">
        <f>VLOOKUP(A118,kurspris!$A$1:$Q$225,15,FALSE)</f>
        <v>24104</v>
      </c>
      <c r="W118" s="41">
        <f>VLOOKUP(A118,kurspris!$A$1:$Q$225,16,FALSE)</f>
        <v>31432</v>
      </c>
      <c r="X118" s="41">
        <f t="shared" si="85"/>
        <v>145782</v>
      </c>
      <c r="Y118" s="41">
        <f>VLOOKUP(A118,kurspris!$A$1:$Q$225,17,FALSE)</f>
        <v>5900</v>
      </c>
      <c r="Z118" s="41">
        <f t="shared" si="86"/>
        <v>15487.5</v>
      </c>
      <c r="AA118" s="41">
        <f t="shared" si="87"/>
        <v>161269.5</v>
      </c>
      <c r="AB118" s="32">
        <f>VLOOKUP($A118,kurspris!$A$1:$Q$262,3,FALSE)</f>
        <v>0</v>
      </c>
      <c r="AC118" s="32">
        <f>VLOOKUP($A118,kurspris!$A$1:$Q$262,4,FALSE)</f>
        <v>0</v>
      </c>
      <c r="AD118" s="32">
        <f>VLOOKUP($A118,kurspris!$A$1:$Q$262,5,FALSE)</f>
        <v>0</v>
      </c>
      <c r="AE118" s="32">
        <f>VLOOKUP($A118,kurspris!$A$1:$Q$262,6,FALSE)</f>
        <v>1</v>
      </c>
      <c r="AF118" s="32">
        <f>VLOOKUP($A118,kurspris!$A$1:$Q$262,7,FALSE)</f>
        <v>0</v>
      </c>
      <c r="AG118" s="32">
        <f>VLOOKUP($A118,kurspris!$A$1:$Q$262,8,FALSE)</f>
        <v>0</v>
      </c>
      <c r="AH118" s="32">
        <f>VLOOKUP($A118,kurspris!$A$1:$Q$262,9,FALSE)</f>
        <v>0</v>
      </c>
      <c r="AI118" s="32">
        <f>VLOOKUP($A118,kurspris!$A$1:$Q$262,10,FALSE)</f>
        <v>0</v>
      </c>
      <c r="AJ118" s="32">
        <f>VLOOKUP($A118,kurspris!$A$1:$Q$262,11,FALSE)</f>
        <v>0</v>
      </c>
      <c r="AK118" s="32">
        <f>VLOOKUP($A118,kurspris!$A$1:$Q$262,12,FALSE)</f>
        <v>0</v>
      </c>
      <c r="AL118" s="32">
        <f>VLOOKUP($A118,kurspris!$A$1:$Q$262,13,FALSE)</f>
        <v>0</v>
      </c>
      <c r="AM118" s="32">
        <f>VLOOKUP($A118,kurspris!$A$1:$Q$262,14,FALSE)</f>
        <v>0</v>
      </c>
      <c r="AN118" s="38" t="s">
        <v>946</v>
      </c>
      <c r="AP118" s="32">
        <f t="shared" si="88"/>
        <v>0</v>
      </c>
      <c r="AQ118" s="234">
        <f t="shared" si="89"/>
        <v>0</v>
      </c>
      <c r="AR118" s="32">
        <f t="shared" si="90"/>
        <v>0</v>
      </c>
      <c r="AS118" s="234">
        <f t="shared" si="91"/>
        <v>0</v>
      </c>
      <c r="AT118" s="32">
        <f t="shared" si="92"/>
        <v>0</v>
      </c>
      <c r="AU118" s="32">
        <f t="shared" si="93"/>
        <v>0</v>
      </c>
      <c r="AV118" s="32">
        <f t="shared" si="94"/>
        <v>2.625</v>
      </c>
      <c r="AW118" s="234">
        <f t="shared" si="95"/>
        <v>2.625</v>
      </c>
      <c r="AX118" s="226">
        <f t="shared" si="96"/>
        <v>0</v>
      </c>
      <c r="AY118" s="234">
        <f t="shared" si="97"/>
        <v>0</v>
      </c>
      <c r="AZ118" s="32">
        <f t="shared" si="98"/>
        <v>0</v>
      </c>
      <c r="BA118" s="234">
        <f t="shared" si="99"/>
        <v>0</v>
      </c>
      <c r="BB118" s="32">
        <f t="shared" si="100"/>
        <v>0</v>
      </c>
      <c r="BC118" s="234">
        <f t="shared" si="101"/>
        <v>0</v>
      </c>
      <c r="BD118" s="32">
        <f t="shared" si="102"/>
        <v>0</v>
      </c>
      <c r="BE118" s="234">
        <f t="shared" si="103"/>
        <v>0</v>
      </c>
      <c r="BF118" s="32">
        <f t="shared" si="104"/>
        <v>0</v>
      </c>
      <c r="BG118" s="234">
        <f t="shared" si="105"/>
        <v>0</v>
      </c>
      <c r="BH118" s="32">
        <f t="shared" si="106"/>
        <v>0</v>
      </c>
      <c r="BI118" s="32">
        <f t="shared" si="107"/>
        <v>0</v>
      </c>
      <c r="BJ118" s="234">
        <f t="shared" si="108"/>
        <v>0</v>
      </c>
      <c r="BK118" s="32">
        <f t="shared" si="109"/>
        <v>0</v>
      </c>
      <c r="BL118" s="234">
        <f t="shared" si="110"/>
        <v>0</v>
      </c>
    </row>
    <row r="119" spans="1:64" x14ac:dyDescent="0.25">
      <c r="A119" s="221" t="s">
        <v>536</v>
      </c>
      <c r="B119" s="26" t="str">
        <f>VLOOKUP(A119,kurspris!$A$1:$B$304,2,FALSE)</f>
        <v>Undervisning och lärande - läroplansteori och didaktik - grundnivå (VAL, ULV)</v>
      </c>
      <c r="C119" s="56"/>
      <c r="D119" s="32" t="s">
        <v>74</v>
      </c>
      <c r="E119" s="59" t="s">
        <v>930</v>
      </c>
      <c r="F119" s="59" t="s">
        <v>933</v>
      </c>
      <c r="G119" s="59" t="s">
        <v>936</v>
      </c>
      <c r="H119" s="59"/>
      <c r="K119" s="37"/>
      <c r="L119" s="32">
        <v>50</v>
      </c>
      <c r="M119" s="32">
        <v>7.5</v>
      </c>
      <c r="N119" s="32">
        <v>2</v>
      </c>
      <c r="O119" s="234">
        <f t="shared" si="83"/>
        <v>0.25</v>
      </c>
      <c r="P119" s="39">
        <v>1</v>
      </c>
      <c r="Q119" s="234">
        <f t="shared" si="84"/>
        <v>0.25</v>
      </c>
      <c r="R119" s="32">
        <f>VLOOKUP(A119,'Ansvar kurs'!$A$1:$C$399,2,FALSE)</f>
        <v>2180</v>
      </c>
      <c r="S119" s="32" t="str">
        <f>VLOOKUP(R119,Orgenheter!$A$1:$C$166,2,FALSE)</f>
        <v xml:space="preserve">Pedagogik                     </v>
      </c>
      <c r="T119" s="32" t="str">
        <f>VLOOKUP(R119,Orgenheter!$A$1:$C$166,3,FALSE)</f>
        <v>Sam</v>
      </c>
      <c r="U119" s="37" t="str">
        <f>VLOOKUP(D119,Program!$A$1:$B$34,2,FALSE)</f>
        <v>VAL-projektet</v>
      </c>
      <c r="V119" s="41">
        <f>VLOOKUP(A119,kurspris!$A$1:$Q$225,15,FALSE)</f>
        <v>24104</v>
      </c>
      <c r="W119" s="41">
        <f>VLOOKUP(A119,kurspris!$A$1:$Q$225,16,FALSE)</f>
        <v>31432</v>
      </c>
      <c r="X119" s="41">
        <f t="shared" si="85"/>
        <v>13884</v>
      </c>
      <c r="Y119" s="41">
        <f>VLOOKUP(A119,kurspris!$A$1:$Q$225,17,FALSE)</f>
        <v>5900</v>
      </c>
      <c r="Z119" s="41">
        <f t="shared" si="86"/>
        <v>1475</v>
      </c>
      <c r="AA119" s="41">
        <f t="shared" si="87"/>
        <v>15359</v>
      </c>
      <c r="AB119" s="32">
        <f>VLOOKUP($A119,kurspris!$A$1:$Q$262,3,FALSE)</f>
        <v>0</v>
      </c>
      <c r="AC119" s="32">
        <f>VLOOKUP($A119,kurspris!$A$1:$Q$262,4,FALSE)</f>
        <v>0</v>
      </c>
      <c r="AD119" s="32">
        <f>VLOOKUP($A119,kurspris!$A$1:$Q$262,5,FALSE)</f>
        <v>0</v>
      </c>
      <c r="AE119" s="32">
        <f>VLOOKUP($A119,kurspris!$A$1:$Q$262,6,FALSE)</f>
        <v>1</v>
      </c>
      <c r="AF119" s="32">
        <f>VLOOKUP($A119,kurspris!$A$1:$Q$262,7,FALSE)</f>
        <v>0</v>
      </c>
      <c r="AG119" s="32">
        <f>VLOOKUP($A119,kurspris!$A$1:$Q$262,8,FALSE)</f>
        <v>0</v>
      </c>
      <c r="AH119" s="32">
        <f>VLOOKUP($A119,kurspris!$A$1:$Q$262,9,FALSE)</f>
        <v>0</v>
      </c>
      <c r="AI119" s="32">
        <f>VLOOKUP($A119,kurspris!$A$1:$Q$262,10,FALSE)</f>
        <v>0</v>
      </c>
      <c r="AJ119" s="32">
        <f>VLOOKUP($A119,kurspris!$A$1:$Q$262,11,FALSE)</f>
        <v>0</v>
      </c>
      <c r="AK119" s="32">
        <f>VLOOKUP($A119,kurspris!$A$1:$Q$262,12,FALSE)</f>
        <v>0</v>
      </c>
      <c r="AL119" s="32">
        <f>VLOOKUP($A119,kurspris!$A$1:$Q$262,13,FALSE)</f>
        <v>0</v>
      </c>
      <c r="AM119" s="32">
        <f>VLOOKUP($A119,kurspris!$A$1:$Q$262,14,FALSE)</f>
        <v>0</v>
      </c>
      <c r="AN119" s="38" t="s">
        <v>946</v>
      </c>
      <c r="AP119" s="32">
        <f t="shared" si="88"/>
        <v>0</v>
      </c>
      <c r="AQ119" s="234">
        <f t="shared" si="89"/>
        <v>0</v>
      </c>
      <c r="AR119" s="32">
        <f t="shared" si="90"/>
        <v>0</v>
      </c>
      <c r="AS119" s="234">
        <f t="shared" si="91"/>
        <v>0</v>
      </c>
      <c r="AT119" s="32">
        <f t="shared" si="92"/>
        <v>0</v>
      </c>
      <c r="AU119" s="32">
        <f t="shared" si="93"/>
        <v>0</v>
      </c>
      <c r="AV119" s="32">
        <f t="shared" si="94"/>
        <v>0.25</v>
      </c>
      <c r="AW119" s="234">
        <f t="shared" si="95"/>
        <v>0.25</v>
      </c>
      <c r="AX119" s="226">
        <f t="shared" si="96"/>
        <v>0</v>
      </c>
      <c r="AY119" s="234">
        <f t="shared" si="97"/>
        <v>0</v>
      </c>
      <c r="AZ119" s="32">
        <f t="shared" si="98"/>
        <v>0</v>
      </c>
      <c r="BA119" s="234">
        <f t="shared" si="99"/>
        <v>0</v>
      </c>
      <c r="BB119" s="32">
        <f t="shared" si="100"/>
        <v>0</v>
      </c>
      <c r="BC119" s="234">
        <f t="shared" si="101"/>
        <v>0</v>
      </c>
      <c r="BD119" s="32">
        <f t="shared" si="102"/>
        <v>0</v>
      </c>
      <c r="BE119" s="234">
        <f t="shared" si="103"/>
        <v>0</v>
      </c>
      <c r="BF119" s="32">
        <f t="shared" si="104"/>
        <v>0</v>
      </c>
      <c r="BG119" s="234">
        <f t="shared" si="105"/>
        <v>0</v>
      </c>
      <c r="BH119" s="32">
        <f t="shared" si="106"/>
        <v>0</v>
      </c>
      <c r="BI119" s="32">
        <f t="shared" si="107"/>
        <v>0</v>
      </c>
      <c r="BJ119" s="234">
        <f t="shared" si="108"/>
        <v>0</v>
      </c>
      <c r="BK119" s="32">
        <f t="shared" si="109"/>
        <v>0</v>
      </c>
      <c r="BL119" s="234">
        <f t="shared" si="110"/>
        <v>0</v>
      </c>
    </row>
    <row r="120" spans="1:64" x14ac:dyDescent="0.25">
      <c r="A120" s="221" t="s">
        <v>536</v>
      </c>
      <c r="B120" s="26" t="str">
        <f>VLOOKUP(A120,kurspris!$A$1:$B$304,2,FALSE)</f>
        <v>Undervisning och lärande - läroplansteori och didaktik - grundnivå (VAL, ULV)</v>
      </c>
      <c r="C120" s="351"/>
      <c r="D120" s="32" t="s">
        <v>74</v>
      </c>
      <c r="E120" s="59" t="s">
        <v>926</v>
      </c>
      <c r="F120" s="59" t="s">
        <v>933</v>
      </c>
      <c r="G120" s="59" t="s">
        <v>936</v>
      </c>
      <c r="H120" s="59"/>
      <c r="K120" s="37"/>
      <c r="L120" s="32">
        <v>50</v>
      </c>
      <c r="M120" s="32">
        <v>7.5</v>
      </c>
      <c r="N120" s="32">
        <v>1</v>
      </c>
      <c r="O120" s="234">
        <f t="shared" si="83"/>
        <v>0.125</v>
      </c>
      <c r="P120" s="39">
        <v>1</v>
      </c>
      <c r="Q120" s="234">
        <f t="shared" si="84"/>
        <v>0.125</v>
      </c>
      <c r="R120" s="32">
        <f>VLOOKUP(A120,'Ansvar kurs'!$A$1:$C$399,2,FALSE)</f>
        <v>2180</v>
      </c>
      <c r="S120" s="32" t="str">
        <f>VLOOKUP(R120,Orgenheter!$A$1:$C$166,2,FALSE)</f>
        <v xml:space="preserve">Pedagogik                     </v>
      </c>
      <c r="T120" s="32" t="str">
        <f>VLOOKUP(R120,Orgenheter!$A$1:$C$166,3,FALSE)</f>
        <v>Sam</v>
      </c>
      <c r="U120" s="37" t="str">
        <f>VLOOKUP(D120,Program!$A$1:$B$34,2,FALSE)</f>
        <v>VAL-projektet</v>
      </c>
      <c r="V120" s="41">
        <f>VLOOKUP(A120,kurspris!$A$1:$Q$225,15,FALSE)</f>
        <v>24104</v>
      </c>
      <c r="W120" s="41">
        <f>VLOOKUP(A120,kurspris!$A$1:$Q$225,16,FALSE)</f>
        <v>31432</v>
      </c>
      <c r="X120" s="41">
        <f t="shared" si="85"/>
        <v>6942</v>
      </c>
      <c r="Y120" s="41">
        <f>VLOOKUP(A120,kurspris!$A$1:$Q$225,17,FALSE)</f>
        <v>5900</v>
      </c>
      <c r="Z120" s="41">
        <f t="shared" si="86"/>
        <v>737.5</v>
      </c>
      <c r="AA120" s="41">
        <f t="shared" si="87"/>
        <v>7679.5</v>
      </c>
      <c r="AB120" s="32">
        <f>VLOOKUP($A120,kurspris!$A$1:$Q$262,3,FALSE)</f>
        <v>0</v>
      </c>
      <c r="AC120" s="32">
        <f>VLOOKUP($A120,kurspris!$A$1:$Q$262,4,FALSE)</f>
        <v>0</v>
      </c>
      <c r="AD120" s="32">
        <f>VLOOKUP($A120,kurspris!$A$1:$Q$262,5,FALSE)</f>
        <v>0</v>
      </c>
      <c r="AE120" s="32">
        <f>VLOOKUP($A120,kurspris!$A$1:$Q$262,6,FALSE)</f>
        <v>1</v>
      </c>
      <c r="AF120" s="32">
        <f>VLOOKUP($A120,kurspris!$A$1:$Q$262,7,FALSE)</f>
        <v>0</v>
      </c>
      <c r="AG120" s="32">
        <f>VLOOKUP($A120,kurspris!$A$1:$Q$262,8,FALSE)</f>
        <v>0</v>
      </c>
      <c r="AH120" s="32">
        <f>VLOOKUP($A120,kurspris!$A$1:$Q$262,9,FALSE)</f>
        <v>0</v>
      </c>
      <c r="AI120" s="32">
        <f>VLOOKUP($A120,kurspris!$A$1:$Q$262,10,FALSE)</f>
        <v>0</v>
      </c>
      <c r="AJ120" s="32">
        <f>VLOOKUP($A120,kurspris!$A$1:$Q$262,11,FALSE)</f>
        <v>0</v>
      </c>
      <c r="AK120" s="32">
        <f>VLOOKUP($A120,kurspris!$A$1:$Q$262,12,FALSE)</f>
        <v>0</v>
      </c>
      <c r="AL120" s="32">
        <f>VLOOKUP($A120,kurspris!$A$1:$Q$262,13,FALSE)</f>
        <v>0</v>
      </c>
      <c r="AM120" s="32">
        <f>VLOOKUP($A120,kurspris!$A$1:$Q$262,14,FALSE)</f>
        <v>0</v>
      </c>
      <c r="AN120" s="38" t="s">
        <v>946</v>
      </c>
      <c r="AP120" s="32">
        <f t="shared" si="88"/>
        <v>0</v>
      </c>
      <c r="AQ120" s="234">
        <f t="shared" si="89"/>
        <v>0</v>
      </c>
      <c r="AR120" s="32">
        <f t="shared" si="90"/>
        <v>0</v>
      </c>
      <c r="AS120" s="234">
        <f t="shared" si="91"/>
        <v>0</v>
      </c>
      <c r="AT120" s="32">
        <f t="shared" si="92"/>
        <v>0</v>
      </c>
      <c r="AU120" s="32">
        <f t="shared" si="93"/>
        <v>0</v>
      </c>
      <c r="AV120" s="32">
        <f t="shared" si="94"/>
        <v>0.125</v>
      </c>
      <c r="AW120" s="234">
        <f t="shared" si="95"/>
        <v>0.125</v>
      </c>
      <c r="AX120" s="226">
        <f t="shared" si="96"/>
        <v>0</v>
      </c>
      <c r="AY120" s="234">
        <f t="shared" si="97"/>
        <v>0</v>
      </c>
      <c r="AZ120" s="32">
        <f t="shared" si="98"/>
        <v>0</v>
      </c>
      <c r="BA120" s="234">
        <f t="shared" si="99"/>
        <v>0</v>
      </c>
      <c r="BB120" s="32">
        <f t="shared" si="100"/>
        <v>0</v>
      </c>
      <c r="BC120" s="234">
        <f t="shared" si="101"/>
        <v>0</v>
      </c>
      <c r="BD120" s="32">
        <f t="shared" si="102"/>
        <v>0</v>
      </c>
      <c r="BE120" s="234">
        <f t="shared" si="103"/>
        <v>0</v>
      </c>
      <c r="BF120" s="32">
        <f t="shared" si="104"/>
        <v>0</v>
      </c>
      <c r="BG120" s="234">
        <f t="shared" si="105"/>
        <v>0</v>
      </c>
      <c r="BH120" s="32">
        <f t="shared" si="106"/>
        <v>0</v>
      </c>
      <c r="BI120" s="32">
        <f t="shared" si="107"/>
        <v>0</v>
      </c>
      <c r="BJ120" s="234">
        <f t="shared" si="108"/>
        <v>0</v>
      </c>
      <c r="BK120" s="32">
        <f t="shared" si="109"/>
        <v>0</v>
      </c>
      <c r="BL120" s="234">
        <f t="shared" si="110"/>
        <v>0</v>
      </c>
    </row>
    <row r="121" spans="1:64" x14ac:dyDescent="0.25">
      <c r="A121" s="221" t="s">
        <v>536</v>
      </c>
      <c r="B121" s="26" t="str">
        <f>VLOOKUP(A121,kurspris!$A$1:$B$304,2,FALSE)</f>
        <v>Undervisning och lärande - läroplansteori och didaktik - grundnivå (VAL, ULV)</v>
      </c>
      <c r="C121" s="351"/>
      <c r="D121" s="32" t="s">
        <v>74</v>
      </c>
      <c r="E121" s="59" t="s">
        <v>927</v>
      </c>
      <c r="F121" s="59" t="s">
        <v>933</v>
      </c>
      <c r="G121" s="59" t="s">
        <v>936</v>
      </c>
      <c r="H121" s="59"/>
      <c r="K121" s="37"/>
      <c r="L121" s="32">
        <v>50</v>
      </c>
      <c r="M121" s="32">
        <v>7.5</v>
      </c>
      <c r="N121" s="32">
        <v>2</v>
      </c>
      <c r="O121" s="234">
        <f t="shared" si="83"/>
        <v>0.25</v>
      </c>
      <c r="P121" s="39">
        <v>1</v>
      </c>
      <c r="Q121" s="234">
        <f t="shared" si="84"/>
        <v>0.25</v>
      </c>
      <c r="R121" s="32">
        <f>VLOOKUP(A121,'Ansvar kurs'!$A$1:$C$399,2,FALSE)</f>
        <v>2180</v>
      </c>
      <c r="S121" s="32" t="str">
        <f>VLOOKUP(R121,Orgenheter!$A$1:$C$166,2,FALSE)</f>
        <v xml:space="preserve">Pedagogik                     </v>
      </c>
      <c r="T121" s="32" t="str">
        <f>VLOOKUP(R121,Orgenheter!$A$1:$C$166,3,FALSE)</f>
        <v>Sam</v>
      </c>
      <c r="U121" s="37" t="str">
        <f>VLOOKUP(D121,Program!$A$1:$B$34,2,FALSE)</f>
        <v>VAL-projektet</v>
      </c>
      <c r="V121" s="41">
        <f>VLOOKUP(A121,kurspris!$A$1:$Q$225,15,FALSE)</f>
        <v>24104</v>
      </c>
      <c r="W121" s="41">
        <f>VLOOKUP(A121,kurspris!$A$1:$Q$225,16,FALSE)</f>
        <v>31432</v>
      </c>
      <c r="X121" s="41">
        <f t="shared" si="85"/>
        <v>13884</v>
      </c>
      <c r="Y121" s="41">
        <f>VLOOKUP(A121,kurspris!$A$1:$Q$225,17,FALSE)</f>
        <v>5900</v>
      </c>
      <c r="Z121" s="41">
        <f t="shared" si="86"/>
        <v>1475</v>
      </c>
      <c r="AA121" s="41">
        <f t="shared" si="87"/>
        <v>15359</v>
      </c>
      <c r="AB121" s="32">
        <f>VLOOKUP($A121,kurspris!$A$1:$Q$262,3,FALSE)</f>
        <v>0</v>
      </c>
      <c r="AC121" s="32">
        <f>VLOOKUP($A121,kurspris!$A$1:$Q$262,4,FALSE)</f>
        <v>0</v>
      </c>
      <c r="AD121" s="32">
        <f>VLOOKUP($A121,kurspris!$A$1:$Q$262,5,FALSE)</f>
        <v>0</v>
      </c>
      <c r="AE121" s="32">
        <f>VLOOKUP($A121,kurspris!$A$1:$Q$262,6,FALSE)</f>
        <v>1</v>
      </c>
      <c r="AF121" s="32">
        <f>VLOOKUP($A121,kurspris!$A$1:$Q$262,7,FALSE)</f>
        <v>0</v>
      </c>
      <c r="AG121" s="32">
        <f>VLOOKUP($A121,kurspris!$A$1:$Q$262,8,FALSE)</f>
        <v>0</v>
      </c>
      <c r="AH121" s="32">
        <f>VLOOKUP($A121,kurspris!$A$1:$Q$262,9,FALSE)</f>
        <v>0</v>
      </c>
      <c r="AI121" s="32">
        <f>VLOOKUP($A121,kurspris!$A$1:$Q$262,10,FALSE)</f>
        <v>0</v>
      </c>
      <c r="AJ121" s="32">
        <f>VLOOKUP($A121,kurspris!$A$1:$Q$262,11,FALSE)</f>
        <v>0</v>
      </c>
      <c r="AK121" s="32">
        <f>VLOOKUP($A121,kurspris!$A$1:$Q$262,12,FALSE)</f>
        <v>0</v>
      </c>
      <c r="AL121" s="32">
        <f>VLOOKUP($A121,kurspris!$A$1:$Q$262,13,FALSE)</f>
        <v>0</v>
      </c>
      <c r="AM121" s="32">
        <f>VLOOKUP($A121,kurspris!$A$1:$Q$262,14,FALSE)</f>
        <v>0</v>
      </c>
      <c r="AN121" s="38" t="s">
        <v>946</v>
      </c>
      <c r="AO121"/>
      <c r="AP121" s="32">
        <f t="shared" si="88"/>
        <v>0</v>
      </c>
      <c r="AQ121" s="234">
        <f t="shared" si="89"/>
        <v>0</v>
      </c>
      <c r="AR121" s="32">
        <f t="shared" si="90"/>
        <v>0</v>
      </c>
      <c r="AS121" s="234">
        <f t="shared" si="91"/>
        <v>0</v>
      </c>
      <c r="AT121" s="32">
        <f t="shared" si="92"/>
        <v>0</v>
      </c>
      <c r="AU121" s="32">
        <f t="shared" si="93"/>
        <v>0</v>
      </c>
      <c r="AV121" s="32">
        <f t="shared" si="94"/>
        <v>0.25</v>
      </c>
      <c r="AW121" s="234">
        <f t="shared" si="95"/>
        <v>0.25</v>
      </c>
      <c r="AX121" s="226">
        <f t="shared" si="96"/>
        <v>0</v>
      </c>
      <c r="AY121" s="234">
        <f t="shared" si="97"/>
        <v>0</v>
      </c>
      <c r="AZ121" s="32">
        <f t="shared" si="98"/>
        <v>0</v>
      </c>
      <c r="BA121" s="234">
        <f t="shared" si="99"/>
        <v>0</v>
      </c>
      <c r="BB121" s="32">
        <f t="shared" si="100"/>
        <v>0</v>
      </c>
      <c r="BC121" s="234">
        <f t="shared" si="101"/>
        <v>0</v>
      </c>
      <c r="BD121" s="32">
        <f t="shared" si="102"/>
        <v>0</v>
      </c>
      <c r="BE121" s="234">
        <f t="shared" si="103"/>
        <v>0</v>
      </c>
      <c r="BF121" s="32">
        <f t="shared" si="104"/>
        <v>0</v>
      </c>
      <c r="BG121" s="234">
        <f t="shared" si="105"/>
        <v>0</v>
      </c>
      <c r="BH121" s="32">
        <f t="shared" si="106"/>
        <v>0</v>
      </c>
      <c r="BI121" s="32">
        <f t="shared" si="107"/>
        <v>0</v>
      </c>
      <c r="BJ121" s="234">
        <f t="shared" si="108"/>
        <v>0</v>
      </c>
      <c r="BK121" s="32">
        <f t="shared" si="109"/>
        <v>0</v>
      </c>
      <c r="BL121" s="234">
        <f t="shared" si="110"/>
        <v>0</v>
      </c>
    </row>
    <row r="122" spans="1:64" x14ac:dyDescent="0.25">
      <c r="A122" s="221" t="s">
        <v>785</v>
      </c>
      <c r="B122" s="26" t="str">
        <f>VLOOKUP(A122,kurspris!$A$1:$B$304,2,FALSE)</f>
        <v>Examensarbete för grundlärarexamen med inriktning mot förskoleklass och grundskolans år 1-3</v>
      </c>
      <c r="C122" s="351"/>
      <c r="D122" s="32" t="s">
        <v>74</v>
      </c>
      <c r="E122" s="59" t="s">
        <v>928</v>
      </c>
      <c r="F122" s="59" t="s">
        <v>933</v>
      </c>
      <c r="G122" s="59" t="s">
        <v>940</v>
      </c>
      <c r="H122" s="59"/>
      <c r="K122" s="37"/>
      <c r="L122" s="32">
        <v>100</v>
      </c>
      <c r="M122" s="32">
        <v>30</v>
      </c>
      <c r="N122" s="32">
        <v>1</v>
      </c>
      <c r="O122" s="234">
        <f t="shared" si="83"/>
        <v>0.5</v>
      </c>
      <c r="P122" s="39">
        <v>1</v>
      </c>
      <c r="Q122" s="234">
        <f t="shared" si="84"/>
        <v>0.5</v>
      </c>
      <c r="R122" s="32">
        <f>VLOOKUP(A122,'Ansvar kurs'!$A$1:$C$399,2,FALSE)</f>
        <v>5740</v>
      </c>
      <c r="S122" s="32" t="str">
        <f>VLOOKUP(R122,Orgenheter!$A$1:$C$166,2,FALSE)</f>
        <v>NMD</v>
      </c>
      <c r="T122" s="32" t="str">
        <f>VLOOKUP(R122,Orgenheter!$A$1:$C$166,3,FALSE)</f>
        <v>TekNat</v>
      </c>
      <c r="U122" s="37" t="str">
        <f>VLOOKUP(D122,Program!$A$1:$B$34,2,FALSE)</f>
        <v>VAL-projektet</v>
      </c>
      <c r="V122" s="41">
        <f>VLOOKUP(A122,kurspris!$A$1:$Q$225,15,FALSE)</f>
        <v>19863</v>
      </c>
      <c r="W122" s="41">
        <f>VLOOKUP(A122,kurspris!$A$1:$Q$225,16,FALSE)</f>
        <v>35472</v>
      </c>
      <c r="X122" s="41">
        <f t="shared" si="85"/>
        <v>27667.5</v>
      </c>
      <c r="Y122" s="41">
        <f>VLOOKUP(A122,kurspris!$A$1:$Q$225,17,FALSE)</f>
        <v>22200</v>
      </c>
      <c r="Z122" s="41">
        <f t="shared" si="86"/>
        <v>11100</v>
      </c>
      <c r="AA122" s="41">
        <f t="shared" si="87"/>
        <v>38767.5</v>
      </c>
      <c r="AB122" s="32">
        <f>VLOOKUP($A122,kurspris!$A$1:$Q$262,3,FALSE)</f>
        <v>0</v>
      </c>
      <c r="AC122" s="32">
        <f>VLOOKUP($A122,kurspris!$A$1:$Q$262,4,FALSE)</f>
        <v>0</v>
      </c>
      <c r="AD122" s="32">
        <f>VLOOKUP($A122,kurspris!$A$1:$Q$262,5,FALSE)</f>
        <v>0</v>
      </c>
      <c r="AE122" s="32">
        <f>VLOOKUP($A122,kurspris!$A$1:$Q$262,6,FALSE)</f>
        <v>0</v>
      </c>
      <c r="AF122" s="32">
        <f>VLOOKUP($A122,kurspris!$A$1:$Q$262,7,FALSE)</f>
        <v>0</v>
      </c>
      <c r="AG122" s="32">
        <f>VLOOKUP($A122,kurspris!$A$1:$Q$262,8,FALSE)</f>
        <v>1</v>
      </c>
      <c r="AH122" s="32">
        <f>VLOOKUP($A122,kurspris!$A$1:$Q$262,9,FALSE)</f>
        <v>0</v>
      </c>
      <c r="AI122" s="32">
        <f>VLOOKUP($A122,kurspris!$A$1:$Q$262,10,FALSE)</f>
        <v>0</v>
      </c>
      <c r="AJ122" s="32">
        <f>VLOOKUP($A122,kurspris!$A$1:$Q$262,11,FALSE)</f>
        <v>0</v>
      </c>
      <c r="AK122" s="32">
        <f>VLOOKUP($A122,kurspris!$A$1:$Q$262,12,FALSE)</f>
        <v>0</v>
      </c>
      <c r="AL122" s="32">
        <f>VLOOKUP($A122,kurspris!$A$1:$Q$262,13,FALSE)</f>
        <v>0</v>
      </c>
      <c r="AM122" s="32">
        <f>VLOOKUP($A122,kurspris!$A$1:$Q$262,14,FALSE)</f>
        <v>0</v>
      </c>
      <c r="AN122" s="38" t="s">
        <v>946</v>
      </c>
      <c r="AO122" s="38"/>
      <c r="AP122" s="32">
        <f t="shared" si="88"/>
        <v>0</v>
      </c>
      <c r="AQ122" s="234">
        <f t="shared" si="89"/>
        <v>0</v>
      </c>
      <c r="AR122" s="32">
        <f t="shared" si="90"/>
        <v>0</v>
      </c>
      <c r="AS122" s="234">
        <f t="shared" si="91"/>
        <v>0</v>
      </c>
      <c r="AT122" s="32">
        <f t="shared" si="92"/>
        <v>0</v>
      </c>
      <c r="AU122" s="32">
        <f t="shared" si="93"/>
        <v>0</v>
      </c>
      <c r="AV122" s="32">
        <f t="shared" si="94"/>
        <v>0</v>
      </c>
      <c r="AW122" s="234">
        <f t="shared" si="95"/>
        <v>0</v>
      </c>
      <c r="AX122" s="226">
        <f t="shared" si="96"/>
        <v>0</v>
      </c>
      <c r="AY122" s="234">
        <f t="shared" si="97"/>
        <v>0</v>
      </c>
      <c r="AZ122" s="32">
        <f t="shared" si="98"/>
        <v>0.5</v>
      </c>
      <c r="BA122" s="234">
        <f t="shared" si="99"/>
        <v>0.5</v>
      </c>
      <c r="BB122" s="32">
        <f t="shared" si="100"/>
        <v>0</v>
      </c>
      <c r="BC122" s="234">
        <f t="shared" si="101"/>
        <v>0</v>
      </c>
      <c r="BD122" s="32">
        <f t="shared" si="102"/>
        <v>0</v>
      </c>
      <c r="BE122" s="234">
        <f t="shared" si="103"/>
        <v>0</v>
      </c>
      <c r="BF122" s="32">
        <f t="shared" si="104"/>
        <v>0</v>
      </c>
      <c r="BG122" s="234">
        <f t="shared" si="105"/>
        <v>0</v>
      </c>
      <c r="BH122" s="32">
        <f t="shared" si="106"/>
        <v>0</v>
      </c>
      <c r="BI122" s="32">
        <f t="shared" si="107"/>
        <v>0</v>
      </c>
      <c r="BJ122" s="234">
        <f t="shared" si="108"/>
        <v>0</v>
      </c>
      <c r="BK122" s="32">
        <f t="shared" si="109"/>
        <v>0</v>
      </c>
      <c r="BL122" s="234">
        <f t="shared" si="110"/>
        <v>0</v>
      </c>
    </row>
    <row r="123" spans="1:64" x14ac:dyDescent="0.25">
      <c r="A123" s="221" t="s">
        <v>785</v>
      </c>
      <c r="B123" s="26" t="str">
        <f>VLOOKUP(A123,kurspris!$A$1:$B$304,2,FALSE)</f>
        <v>Examensarbete för grundlärarexamen med inriktning mot förskoleklass och grundskolans år 1-3</v>
      </c>
      <c r="C123" s="351"/>
      <c r="D123" s="32" t="s">
        <v>74</v>
      </c>
      <c r="E123" s="59" t="s">
        <v>925</v>
      </c>
      <c r="F123" s="59" t="s">
        <v>933</v>
      </c>
      <c r="G123" s="59" t="s">
        <v>940</v>
      </c>
      <c r="H123" s="59"/>
      <c r="K123" s="37"/>
      <c r="L123" s="32">
        <v>100</v>
      </c>
      <c r="M123" s="32">
        <v>30</v>
      </c>
      <c r="N123" s="32">
        <v>2</v>
      </c>
      <c r="O123" s="234">
        <f t="shared" si="83"/>
        <v>1</v>
      </c>
      <c r="P123" s="39">
        <v>1</v>
      </c>
      <c r="Q123" s="234">
        <f t="shared" si="84"/>
        <v>1</v>
      </c>
      <c r="R123" s="32">
        <f>VLOOKUP(A123,'Ansvar kurs'!$A$1:$C$399,2,FALSE)</f>
        <v>5740</v>
      </c>
      <c r="S123" s="32" t="str">
        <f>VLOOKUP(R123,Orgenheter!$A$1:$C$166,2,FALSE)</f>
        <v>NMD</v>
      </c>
      <c r="T123" s="32" t="str">
        <f>VLOOKUP(R123,Orgenheter!$A$1:$C$166,3,FALSE)</f>
        <v>TekNat</v>
      </c>
      <c r="U123" s="37" t="str">
        <f>VLOOKUP(D123,Program!$A$1:$B$34,2,FALSE)</f>
        <v>VAL-projektet</v>
      </c>
      <c r="V123" s="41">
        <f>VLOOKUP(A123,kurspris!$A$1:$Q$225,15,FALSE)</f>
        <v>19863</v>
      </c>
      <c r="W123" s="41">
        <f>VLOOKUP(A123,kurspris!$A$1:$Q$225,16,FALSE)</f>
        <v>35472</v>
      </c>
      <c r="X123" s="41">
        <f t="shared" si="85"/>
        <v>55335</v>
      </c>
      <c r="Y123" s="41">
        <f>VLOOKUP(A123,kurspris!$A$1:$Q$225,17,FALSE)</f>
        <v>22200</v>
      </c>
      <c r="Z123" s="41">
        <f t="shared" si="86"/>
        <v>22200</v>
      </c>
      <c r="AA123" s="41">
        <f t="shared" si="87"/>
        <v>77535</v>
      </c>
      <c r="AB123" s="32">
        <f>VLOOKUP($A123,kurspris!$A$1:$Q$262,3,FALSE)</f>
        <v>0</v>
      </c>
      <c r="AC123" s="32">
        <f>VLOOKUP($A123,kurspris!$A$1:$Q$262,4,FALSE)</f>
        <v>0</v>
      </c>
      <c r="AD123" s="32">
        <f>VLOOKUP($A123,kurspris!$A$1:$Q$262,5,FALSE)</f>
        <v>0</v>
      </c>
      <c r="AE123" s="32">
        <f>VLOOKUP($A123,kurspris!$A$1:$Q$262,6,FALSE)</f>
        <v>0</v>
      </c>
      <c r="AF123" s="32">
        <f>VLOOKUP($A123,kurspris!$A$1:$Q$262,7,FALSE)</f>
        <v>0</v>
      </c>
      <c r="AG123" s="32">
        <f>VLOOKUP($A123,kurspris!$A$1:$Q$262,8,FALSE)</f>
        <v>1</v>
      </c>
      <c r="AH123" s="32">
        <f>VLOOKUP($A123,kurspris!$A$1:$Q$262,9,FALSE)</f>
        <v>0</v>
      </c>
      <c r="AI123" s="32">
        <f>VLOOKUP($A123,kurspris!$A$1:$Q$262,10,FALSE)</f>
        <v>0</v>
      </c>
      <c r="AJ123" s="32">
        <f>VLOOKUP($A123,kurspris!$A$1:$Q$262,11,FALSE)</f>
        <v>0</v>
      </c>
      <c r="AK123" s="32">
        <f>VLOOKUP($A123,kurspris!$A$1:$Q$262,12,FALSE)</f>
        <v>0</v>
      </c>
      <c r="AL123" s="32">
        <f>VLOOKUP($A123,kurspris!$A$1:$Q$262,13,FALSE)</f>
        <v>0</v>
      </c>
      <c r="AM123" s="32">
        <f>VLOOKUP($A123,kurspris!$A$1:$Q$262,14,FALSE)</f>
        <v>0</v>
      </c>
      <c r="AN123" s="38" t="s">
        <v>946</v>
      </c>
      <c r="AO123" s="38"/>
      <c r="AP123" s="32">
        <f t="shared" si="88"/>
        <v>0</v>
      </c>
      <c r="AQ123" s="234">
        <f t="shared" si="89"/>
        <v>0</v>
      </c>
      <c r="AR123" s="32">
        <f t="shared" si="90"/>
        <v>0</v>
      </c>
      <c r="AS123" s="234">
        <f t="shared" si="91"/>
        <v>0</v>
      </c>
      <c r="AT123" s="32">
        <f t="shared" si="92"/>
        <v>0</v>
      </c>
      <c r="AU123" s="32">
        <f t="shared" si="93"/>
        <v>0</v>
      </c>
      <c r="AV123" s="32">
        <f t="shared" si="94"/>
        <v>0</v>
      </c>
      <c r="AW123" s="234">
        <f t="shared" si="95"/>
        <v>0</v>
      </c>
      <c r="AX123" s="226">
        <f t="shared" si="96"/>
        <v>0</v>
      </c>
      <c r="AY123" s="234">
        <f t="shared" si="97"/>
        <v>0</v>
      </c>
      <c r="AZ123" s="32">
        <f t="shared" si="98"/>
        <v>1</v>
      </c>
      <c r="BA123" s="234">
        <f t="shared" si="99"/>
        <v>1</v>
      </c>
      <c r="BB123" s="32">
        <f t="shared" si="100"/>
        <v>0</v>
      </c>
      <c r="BC123" s="234">
        <f t="shared" si="101"/>
        <v>0</v>
      </c>
      <c r="BD123" s="32">
        <f t="shared" si="102"/>
        <v>0</v>
      </c>
      <c r="BE123" s="234">
        <f t="shared" si="103"/>
        <v>0</v>
      </c>
      <c r="BF123" s="32">
        <f t="shared" si="104"/>
        <v>0</v>
      </c>
      <c r="BG123" s="234">
        <f t="shared" si="105"/>
        <v>0</v>
      </c>
      <c r="BH123" s="32">
        <f t="shared" si="106"/>
        <v>0</v>
      </c>
      <c r="BI123" s="32">
        <f t="shared" si="107"/>
        <v>0</v>
      </c>
      <c r="BJ123" s="234">
        <f t="shared" si="108"/>
        <v>0</v>
      </c>
      <c r="BK123" s="32">
        <f t="shared" si="109"/>
        <v>0</v>
      </c>
      <c r="BL123" s="234">
        <f t="shared" si="110"/>
        <v>0</v>
      </c>
    </row>
    <row r="124" spans="1:64" x14ac:dyDescent="0.25">
      <c r="A124" s="162" t="s">
        <v>654</v>
      </c>
      <c r="B124" s="26" t="str">
        <f>VLOOKUP(A124,kurspris!$A$1:$B$304,2,FALSE)</f>
        <v>Examensarbete med ämnesdidaktisk inriktning (VAL, ULV)</v>
      </c>
      <c r="C124" s="56"/>
      <c r="D124" s="32" t="s">
        <v>74</v>
      </c>
      <c r="E124" s="59" t="s">
        <v>931</v>
      </c>
      <c r="F124" s="59" t="s">
        <v>933</v>
      </c>
      <c r="G124" s="32" t="s">
        <v>934</v>
      </c>
      <c r="H124" s="59"/>
      <c r="K124" s="37"/>
      <c r="L124" s="32">
        <v>50</v>
      </c>
      <c r="M124" s="32">
        <v>15</v>
      </c>
      <c r="N124" s="375">
        <v>1</v>
      </c>
      <c r="O124" s="234">
        <f t="shared" si="83"/>
        <v>0.25</v>
      </c>
      <c r="P124" s="39">
        <v>1</v>
      </c>
      <c r="Q124" s="234">
        <f t="shared" si="84"/>
        <v>0.25</v>
      </c>
      <c r="R124" s="32">
        <f>VLOOKUP(A124,'Ansvar kurs'!$A$1:$C$399,2,FALSE)</f>
        <v>2193</v>
      </c>
      <c r="S124" s="32" t="str">
        <f>VLOOKUP(R124,Orgenheter!$A$1:$C$166,2,FALSE)</f>
        <v xml:space="preserve">TUV </v>
      </c>
      <c r="T124" s="32" t="str">
        <f>VLOOKUP(R124,Orgenheter!$A$1:$C$166,3,FALSE)</f>
        <v>Sam</v>
      </c>
      <c r="U124" s="37" t="str">
        <f>VLOOKUP(D124,Program!$A$1:$B$34,2,FALSE)</f>
        <v>VAL-projektet</v>
      </c>
      <c r="V124" s="41">
        <f>VLOOKUP(A124,kurspris!$A$1:$Q$225,15,FALSE)</f>
        <v>24104</v>
      </c>
      <c r="W124" s="41">
        <f>VLOOKUP(A124,kurspris!$A$1:$Q$225,16,FALSE)</f>
        <v>31432</v>
      </c>
      <c r="X124" s="41">
        <f t="shared" si="85"/>
        <v>13884</v>
      </c>
      <c r="Y124" s="41">
        <f>VLOOKUP(A124,kurspris!$A$1:$Q$225,17,FALSE)</f>
        <v>5900</v>
      </c>
      <c r="Z124" s="41">
        <f t="shared" si="86"/>
        <v>1475</v>
      </c>
      <c r="AA124" s="41">
        <f t="shared" si="87"/>
        <v>15359</v>
      </c>
      <c r="AB124" s="32">
        <f>VLOOKUP($A124,kurspris!$A$1:$Q$262,3,FALSE)</f>
        <v>0</v>
      </c>
      <c r="AC124" s="32">
        <f>VLOOKUP($A124,kurspris!$A$1:$Q$262,4,FALSE)</f>
        <v>0</v>
      </c>
      <c r="AD124" s="32">
        <f>VLOOKUP($A124,kurspris!$A$1:$Q$262,5,FALSE)</f>
        <v>0</v>
      </c>
      <c r="AE124" s="32">
        <f>VLOOKUP($A124,kurspris!$A$1:$Q$262,6,FALSE)</f>
        <v>1</v>
      </c>
      <c r="AF124" s="32">
        <f>VLOOKUP($A124,kurspris!$A$1:$Q$262,7,FALSE)</f>
        <v>0</v>
      </c>
      <c r="AG124" s="32">
        <f>VLOOKUP($A124,kurspris!$A$1:$Q$262,8,FALSE)</f>
        <v>0</v>
      </c>
      <c r="AH124" s="32">
        <f>VLOOKUP($A124,kurspris!$A$1:$Q$262,9,FALSE)</f>
        <v>0</v>
      </c>
      <c r="AI124" s="32">
        <f>VLOOKUP($A124,kurspris!$A$1:$Q$262,10,FALSE)</f>
        <v>0</v>
      </c>
      <c r="AJ124" s="32">
        <f>VLOOKUP($A124,kurspris!$A$1:$Q$262,11,FALSE)</f>
        <v>0</v>
      </c>
      <c r="AK124" s="32">
        <f>VLOOKUP($A124,kurspris!$A$1:$Q$262,12,FALSE)</f>
        <v>0</v>
      </c>
      <c r="AL124" s="32">
        <f>VLOOKUP($A124,kurspris!$A$1:$Q$262,13,FALSE)</f>
        <v>0</v>
      </c>
      <c r="AM124" s="32">
        <f>VLOOKUP($A124,kurspris!$A$1:$Q$262,14,FALSE)</f>
        <v>0</v>
      </c>
      <c r="AN124" s="38" t="s">
        <v>946</v>
      </c>
      <c r="AO124"/>
      <c r="AP124" s="32">
        <f t="shared" si="88"/>
        <v>0</v>
      </c>
      <c r="AQ124" s="234">
        <f t="shared" si="89"/>
        <v>0</v>
      </c>
      <c r="AR124" s="32">
        <f t="shared" si="90"/>
        <v>0</v>
      </c>
      <c r="AS124" s="234">
        <f t="shared" si="91"/>
        <v>0</v>
      </c>
      <c r="AT124" s="32">
        <f t="shared" si="92"/>
        <v>0</v>
      </c>
      <c r="AU124" s="32">
        <f t="shared" si="93"/>
        <v>0</v>
      </c>
      <c r="AV124" s="32">
        <f t="shared" si="94"/>
        <v>0.25</v>
      </c>
      <c r="AW124" s="234">
        <f t="shared" si="95"/>
        <v>0.25</v>
      </c>
      <c r="AX124" s="226">
        <f t="shared" si="96"/>
        <v>0</v>
      </c>
      <c r="AY124" s="234">
        <f t="shared" si="97"/>
        <v>0</v>
      </c>
      <c r="AZ124" s="32">
        <f t="shared" si="98"/>
        <v>0</v>
      </c>
      <c r="BA124" s="234">
        <f t="shared" si="99"/>
        <v>0</v>
      </c>
      <c r="BB124" s="32">
        <f t="shared" si="100"/>
        <v>0</v>
      </c>
      <c r="BC124" s="234">
        <f t="shared" si="101"/>
        <v>0</v>
      </c>
      <c r="BD124" s="32">
        <f t="shared" si="102"/>
        <v>0</v>
      </c>
      <c r="BE124" s="234">
        <f t="shared" si="103"/>
        <v>0</v>
      </c>
      <c r="BF124" s="32">
        <f t="shared" si="104"/>
        <v>0</v>
      </c>
      <c r="BG124" s="234">
        <f t="shared" si="105"/>
        <v>0</v>
      </c>
      <c r="BH124" s="32">
        <f t="shared" si="106"/>
        <v>0</v>
      </c>
      <c r="BI124" s="32">
        <f t="shared" si="107"/>
        <v>0</v>
      </c>
      <c r="BJ124" s="234">
        <f t="shared" si="108"/>
        <v>0</v>
      </c>
      <c r="BK124" s="32">
        <f t="shared" si="109"/>
        <v>0</v>
      </c>
      <c r="BL124" s="234">
        <f t="shared" si="110"/>
        <v>0</v>
      </c>
    </row>
    <row r="125" spans="1:64" x14ac:dyDescent="0.25">
      <c r="A125" s="162" t="s">
        <v>654</v>
      </c>
      <c r="B125" s="26" t="str">
        <f>VLOOKUP(A125,kurspris!$A$1:$B$304,2,FALSE)</f>
        <v>Examensarbete med ämnesdidaktisk inriktning (VAL, ULV)</v>
      </c>
      <c r="C125" s="56"/>
      <c r="D125" s="32" t="s">
        <v>74</v>
      </c>
      <c r="E125" s="59" t="s">
        <v>928</v>
      </c>
      <c r="F125" s="59" t="s">
        <v>933</v>
      </c>
      <c r="G125" s="32" t="s">
        <v>934</v>
      </c>
      <c r="H125" s="59"/>
      <c r="K125" s="37"/>
      <c r="L125" s="32">
        <v>50</v>
      </c>
      <c r="M125" s="32">
        <v>15</v>
      </c>
      <c r="N125" s="375">
        <v>3</v>
      </c>
      <c r="O125" s="234">
        <f t="shared" si="83"/>
        <v>0.75</v>
      </c>
      <c r="P125" s="39">
        <v>1</v>
      </c>
      <c r="Q125" s="234">
        <f t="shared" si="84"/>
        <v>0.75</v>
      </c>
      <c r="R125" s="32">
        <f>VLOOKUP(A125,'Ansvar kurs'!$A$1:$C$399,2,FALSE)</f>
        <v>2193</v>
      </c>
      <c r="S125" s="32" t="str">
        <f>VLOOKUP(R125,Orgenheter!$A$1:$C$166,2,FALSE)</f>
        <v xml:space="preserve">TUV </v>
      </c>
      <c r="T125" s="32" t="str">
        <f>VLOOKUP(R125,Orgenheter!$A$1:$C$166,3,FALSE)</f>
        <v>Sam</v>
      </c>
      <c r="U125" s="37" t="str">
        <f>VLOOKUP(D125,Program!$A$1:$B$34,2,FALSE)</f>
        <v>VAL-projektet</v>
      </c>
      <c r="V125" s="41">
        <f>VLOOKUP(A125,kurspris!$A$1:$Q$225,15,FALSE)</f>
        <v>24104</v>
      </c>
      <c r="W125" s="41">
        <f>VLOOKUP(A125,kurspris!$A$1:$Q$225,16,FALSE)</f>
        <v>31432</v>
      </c>
      <c r="X125" s="41">
        <f t="shared" si="85"/>
        <v>41652</v>
      </c>
      <c r="Y125" s="41">
        <f>VLOOKUP(A125,kurspris!$A$1:$Q$225,17,FALSE)</f>
        <v>5900</v>
      </c>
      <c r="Z125" s="41">
        <f t="shared" si="86"/>
        <v>4425</v>
      </c>
      <c r="AA125" s="41">
        <f t="shared" si="87"/>
        <v>46077</v>
      </c>
      <c r="AB125" s="32">
        <f>VLOOKUP($A125,kurspris!$A$1:$Q$262,3,FALSE)</f>
        <v>0</v>
      </c>
      <c r="AC125" s="32">
        <f>VLOOKUP($A125,kurspris!$A$1:$Q$262,4,FALSE)</f>
        <v>0</v>
      </c>
      <c r="AD125" s="32">
        <f>VLOOKUP($A125,kurspris!$A$1:$Q$262,5,FALSE)</f>
        <v>0</v>
      </c>
      <c r="AE125" s="32">
        <f>VLOOKUP($A125,kurspris!$A$1:$Q$262,6,FALSE)</f>
        <v>1</v>
      </c>
      <c r="AF125" s="32">
        <f>VLOOKUP($A125,kurspris!$A$1:$Q$262,7,FALSE)</f>
        <v>0</v>
      </c>
      <c r="AG125" s="32">
        <f>VLOOKUP($A125,kurspris!$A$1:$Q$262,8,FALSE)</f>
        <v>0</v>
      </c>
      <c r="AH125" s="32">
        <f>VLOOKUP($A125,kurspris!$A$1:$Q$262,9,FALSE)</f>
        <v>0</v>
      </c>
      <c r="AI125" s="32">
        <f>VLOOKUP($A125,kurspris!$A$1:$Q$262,10,FALSE)</f>
        <v>0</v>
      </c>
      <c r="AJ125" s="32">
        <f>VLOOKUP($A125,kurspris!$A$1:$Q$262,11,FALSE)</f>
        <v>0</v>
      </c>
      <c r="AK125" s="32">
        <f>VLOOKUP($A125,kurspris!$A$1:$Q$262,12,FALSE)</f>
        <v>0</v>
      </c>
      <c r="AL125" s="32">
        <f>VLOOKUP($A125,kurspris!$A$1:$Q$262,13,FALSE)</f>
        <v>0</v>
      </c>
      <c r="AM125" s="32">
        <f>VLOOKUP($A125,kurspris!$A$1:$Q$262,14,FALSE)</f>
        <v>0</v>
      </c>
      <c r="AN125" s="38" t="s">
        <v>946</v>
      </c>
      <c r="AO125"/>
      <c r="AP125" s="32">
        <f t="shared" si="88"/>
        <v>0</v>
      </c>
      <c r="AQ125" s="234">
        <f t="shared" si="89"/>
        <v>0</v>
      </c>
      <c r="AR125" s="32">
        <f t="shared" si="90"/>
        <v>0</v>
      </c>
      <c r="AS125" s="234">
        <f t="shared" si="91"/>
        <v>0</v>
      </c>
      <c r="AT125" s="32">
        <f t="shared" si="92"/>
        <v>0</v>
      </c>
      <c r="AU125" s="32">
        <f t="shared" si="93"/>
        <v>0</v>
      </c>
      <c r="AV125" s="32">
        <f t="shared" si="94"/>
        <v>0.75</v>
      </c>
      <c r="AW125" s="234">
        <f t="shared" si="95"/>
        <v>0.75</v>
      </c>
      <c r="AX125" s="226">
        <f t="shared" si="96"/>
        <v>0</v>
      </c>
      <c r="AY125" s="234">
        <f t="shared" si="97"/>
        <v>0</v>
      </c>
      <c r="AZ125" s="32">
        <f t="shared" si="98"/>
        <v>0</v>
      </c>
      <c r="BA125" s="234">
        <f t="shared" si="99"/>
        <v>0</v>
      </c>
      <c r="BB125" s="32">
        <f t="shared" si="100"/>
        <v>0</v>
      </c>
      <c r="BC125" s="234">
        <f t="shared" si="101"/>
        <v>0</v>
      </c>
      <c r="BD125" s="32">
        <f t="shared" si="102"/>
        <v>0</v>
      </c>
      <c r="BE125" s="234">
        <f t="shared" si="103"/>
        <v>0</v>
      </c>
      <c r="BF125" s="32">
        <f t="shared" si="104"/>
        <v>0</v>
      </c>
      <c r="BG125" s="234">
        <f t="shared" si="105"/>
        <v>0</v>
      </c>
      <c r="BH125" s="32">
        <f t="shared" si="106"/>
        <v>0</v>
      </c>
      <c r="BI125" s="32">
        <f t="shared" si="107"/>
        <v>0</v>
      </c>
      <c r="BJ125" s="234">
        <f t="shared" si="108"/>
        <v>0</v>
      </c>
      <c r="BK125" s="32">
        <f t="shared" si="109"/>
        <v>0</v>
      </c>
      <c r="BL125" s="234">
        <f t="shared" si="110"/>
        <v>0</v>
      </c>
    </row>
    <row r="126" spans="1:64" x14ac:dyDescent="0.25">
      <c r="A126" s="221" t="s">
        <v>654</v>
      </c>
      <c r="B126" s="26" t="str">
        <f>VLOOKUP(A126,kurspris!$A$1:$B$304,2,FALSE)</f>
        <v>Examensarbete med ämnesdidaktisk inriktning (VAL, ULV)</v>
      </c>
      <c r="C126" s="56"/>
      <c r="D126" s="32" t="s">
        <v>74</v>
      </c>
      <c r="E126" s="59" t="s">
        <v>929</v>
      </c>
      <c r="F126" s="59" t="s">
        <v>933</v>
      </c>
      <c r="G126" s="59" t="s">
        <v>934</v>
      </c>
      <c r="H126" s="59"/>
      <c r="K126" s="37"/>
      <c r="L126" s="32">
        <v>50</v>
      </c>
      <c r="M126" s="32">
        <v>15</v>
      </c>
      <c r="N126" s="32">
        <v>1</v>
      </c>
      <c r="O126" s="234">
        <f t="shared" si="83"/>
        <v>0.25</v>
      </c>
      <c r="P126" s="39">
        <v>1</v>
      </c>
      <c r="Q126" s="234">
        <f t="shared" si="84"/>
        <v>0.25</v>
      </c>
      <c r="R126" s="32">
        <f>VLOOKUP(A126,'Ansvar kurs'!$A$1:$C$399,2,FALSE)</f>
        <v>2193</v>
      </c>
      <c r="S126" s="32" t="str">
        <f>VLOOKUP(R126,Orgenheter!$A$1:$C$166,2,FALSE)</f>
        <v xml:space="preserve">TUV </v>
      </c>
      <c r="T126" s="32" t="str">
        <f>VLOOKUP(R126,Orgenheter!$A$1:$C$166,3,FALSE)</f>
        <v>Sam</v>
      </c>
      <c r="U126" s="37" t="str">
        <f>VLOOKUP(D126,Program!$A$1:$B$34,2,FALSE)</f>
        <v>VAL-projektet</v>
      </c>
      <c r="V126" s="41">
        <f>VLOOKUP(A126,kurspris!$A$1:$Q$225,15,FALSE)</f>
        <v>24104</v>
      </c>
      <c r="W126" s="41">
        <f>VLOOKUP(A126,kurspris!$A$1:$Q$225,16,FALSE)</f>
        <v>31432</v>
      </c>
      <c r="X126" s="41">
        <f t="shared" si="85"/>
        <v>13884</v>
      </c>
      <c r="Y126" s="41">
        <f>VLOOKUP(A126,kurspris!$A$1:$Q$225,17,FALSE)</f>
        <v>5900</v>
      </c>
      <c r="Z126" s="41">
        <f t="shared" si="86"/>
        <v>1475</v>
      </c>
      <c r="AA126" s="41">
        <f t="shared" si="87"/>
        <v>15359</v>
      </c>
      <c r="AB126" s="32">
        <f>VLOOKUP($A126,kurspris!$A$1:$Q$262,3,FALSE)</f>
        <v>0</v>
      </c>
      <c r="AC126" s="32">
        <f>VLOOKUP($A126,kurspris!$A$1:$Q$262,4,FALSE)</f>
        <v>0</v>
      </c>
      <c r="AD126" s="32">
        <f>VLOOKUP($A126,kurspris!$A$1:$Q$262,5,FALSE)</f>
        <v>0</v>
      </c>
      <c r="AE126" s="32">
        <f>VLOOKUP($A126,kurspris!$A$1:$Q$262,6,FALSE)</f>
        <v>1</v>
      </c>
      <c r="AF126" s="32">
        <f>VLOOKUP($A126,kurspris!$A$1:$Q$262,7,FALSE)</f>
        <v>0</v>
      </c>
      <c r="AG126" s="32">
        <f>VLOOKUP($A126,kurspris!$A$1:$Q$262,8,FALSE)</f>
        <v>0</v>
      </c>
      <c r="AH126" s="32">
        <f>VLOOKUP($A126,kurspris!$A$1:$Q$262,9,FALSE)</f>
        <v>0</v>
      </c>
      <c r="AI126" s="32">
        <f>VLOOKUP($A126,kurspris!$A$1:$Q$262,10,FALSE)</f>
        <v>0</v>
      </c>
      <c r="AJ126" s="32">
        <f>VLOOKUP($A126,kurspris!$A$1:$Q$262,11,FALSE)</f>
        <v>0</v>
      </c>
      <c r="AK126" s="32">
        <f>VLOOKUP($A126,kurspris!$A$1:$Q$262,12,FALSE)</f>
        <v>0</v>
      </c>
      <c r="AL126" s="32">
        <f>VLOOKUP($A126,kurspris!$A$1:$Q$262,13,FALSE)</f>
        <v>0</v>
      </c>
      <c r="AM126" s="32">
        <f>VLOOKUP($A126,kurspris!$A$1:$Q$262,14,FALSE)</f>
        <v>0</v>
      </c>
      <c r="AN126" s="38" t="s">
        <v>946</v>
      </c>
      <c r="AP126" s="32">
        <f t="shared" si="88"/>
        <v>0</v>
      </c>
      <c r="AQ126" s="234">
        <f t="shared" si="89"/>
        <v>0</v>
      </c>
      <c r="AR126" s="32">
        <f t="shared" si="90"/>
        <v>0</v>
      </c>
      <c r="AS126" s="234">
        <f t="shared" si="91"/>
        <v>0</v>
      </c>
      <c r="AT126" s="32">
        <f t="shared" si="92"/>
        <v>0</v>
      </c>
      <c r="AU126" s="32">
        <f t="shared" si="93"/>
        <v>0</v>
      </c>
      <c r="AV126" s="32">
        <f t="shared" si="94"/>
        <v>0.25</v>
      </c>
      <c r="AW126" s="234">
        <f t="shared" si="95"/>
        <v>0.25</v>
      </c>
      <c r="AX126" s="226">
        <f t="shared" si="96"/>
        <v>0</v>
      </c>
      <c r="AY126" s="234">
        <f t="shared" si="97"/>
        <v>0</v>
      </c>
      <c r="AZ126" s="32">
        <f t="shared" si="98"/>
        <v>0</v>
      </c>
      <c r="BA126" s="234">
        <f t="shared" si="99"/>
        <v>0</v>
      </c>
      <c r="BB126" s="32">
        <f t="shared" si="100"/>
        <v>0</v>
      </c>
      <c r="BC126" s="234">
        <f t="shared" si="101"/>
        <v>0</v>
      </c>
      <c r="BD126" s="32">
        <f t="shared" si="102"/>
        <v>0</v>
      </c>
      <c r="BE126" s="234">
        <f t="shared" si="103"/>
        <v>0</v>
      </c>
      <c r="BF126" s="32">
        <f t="shared" si="104"/>
        <v>0</v>
      </c>
      <c r="BG126" s="234">
        <f t="shared" si="105"/>
        <v>0</v>
      </c>
      <c r="BH126" s="32">
        <f t="shared" si="106"/>
        <v>0</v>
      </c>
      <c r="BI126" s="32">
        <f t="shared" si="107"/>
        <v>0</v>
      </c>
      <c r="BJ126" s="234">
        <f t="shared" si="108"/>
        <v>0</v>
      </c>
      <c r="BK126" s="32">
        <f t="shared" si="109"/>
        <v>0</v>
      </c>
      <c r="BL126" s="234">
        <f t="shared" si="110"/>
        <v>0</v>
      </c>
    </row>
    <row r="127" spans="1:64" x14ac:dyDescent="0.25">
      <c r="A127" s="162" t="s">
        <v>654</v>
      </c>
      <c r="B127" s="26" t="str">
        <f>VLOOKUP(A127,kurspris!$A$1:$B$304,2,FALSE)</f>
        <v>Examensarbete med ämnesdidaktisk inriktning (VAL, ULV)</v>
      </c>
      <c r="C127" s="351"/>
      <c r="D127" s="32" t="s">
        <v>74</v>
      </c>
      <c r="E127" s="59" t="s">
        <v>925</v>
      </c>
      <c r="F127" s="59" t="s">
        <v>933</v>
      </c>
      <c r="G127" s="32" t="s">
        <v>934</v>
      </c>
      <c r="H127" s="59"/>
      <c r="K127" s="37"/>
      <c r="L127" s="32">
        <v>50</v>
      </c>
      <c r="M127" s="32">
        <v>15</v>
      </c>
      <c r="N127" s="32">
        <v>16</v>
      </c>
      <c r="O127" s="234">
        <f t="shared" si="83"/>
        <v>4</v>
      </c>
      <c r="P127" s="39">
        <v>1</v>
      </c>
      <c r="Q127" s="234">
        <f t="shared" si="84"/>
        <v>4</v>
      </c>
      <c r="R127" s="32">
        <f>VLOOKUP(A127,'Ansvar kurs'!$A$1:$C$399,2,FALSE)</f>
        <v>2193</v>
      </c>
      <c r="S127" s="32" t="str">
        <f>VLOOKUP(R127,Orgenheter!$A$1:$C$166,2,FALSE)</f>
        <v xml:space="preserve">TUV </v>
      </c>
      <c r="T127" s="32" t="str">
        <f>VLOOKUP(R127,Orgenheter!$A$1:$C$166,3,FALSE)</f>
        <v>Sam</v>
      </c>
      <c r="U127" s="37" t="str">
        <f>VLOOKUP(D127,Program!$A$1:$B$34,2,FALSE)</f>
        <v>VAL-projektet</v>
      </c>
      <c r="V127" s="41">
        <f>VLOOKUP(A127,kurspris!$A$1:$Q$225,15,FALSE)</f>
        <v>24104</v>
      </c>
      <c r="W127" s="41">
        <f>VLOOKUP(A127,kurspris!$A$1:$Q$225,16,FALSE)</f>
        <v>31432</v>
      </c>
      <c r="X127" s="41">
        <f t="shared" si="85"/>
        <v>222144</v>
      </c>
      <c r="Y127" s="41">
        <f>VLOOKUP(A127,kurspris!$A$1:$Q$225,17,FALSE)</f>
        <v>5900</v>
      </c>
      <c r="Z127" s="41">
        <f t="shared" si="86"/>
        <v>23600</v>
      </c>
      <c r="AA127" s="41">
        <f t="shared" si="87"/>
        <v>245744</v>
      </c>
      <c r="AB127" s="32">
        <f>VLOOKUP($A127,kurspris!$A$1:$Q$262,3,FALSE)</f>
        <v>0</v>
      </c>
      <c r="AC127" s="32">
        <f>VLOOKUP($A127,kurspris!$A$1:$Q$262,4,FALSE)</f>
        <v>0</v>
      </c>
      <c r="AD127" s="32">
        <f>VLOOKUP($A127,kurspris!$A$1:$Q$262,5,FALSE)</f>
        <v>0</v>
      </c>
      <c r="AE127" s="32">
        <f>VLOOKUP($A127,kurspris!$A$1:$Q$262,6,FALSE)</f>
        <v>1</v>
      </c>
      <c r="AF127" s="32">
        <f>VLOOKUP($A127,kurspris!$A$1:$Q$262,7,FALSE)</f>
        <v>0</v>
      </c>
      <c r="AG127" s="32">
        <f>VLOOKUP($A127,kurspris!$A$1:$Q$262,8,FALSE)</f>
        <v>0</v>
      </c>
      <c r="AH127" s="32">
        <f>VLOOKUP($A127,kurspris!$A$1:$Q$262,9,FALSE)</f>
        <v>0</v>
      </c>
      <c r="AI127" s="32">
        <f>VLOOKUP($A127,kurspris!$A$1:$Q$262,10,FALSE)</f>
        <v>0</v>
      </c>
      <c r="AJ127" s="32">
        <f>VLOOKUP($A127,kurspris!$A$1:$Q$262,11,FALSE)</f>
        <v>0</v>
      </c>
      <c r="AK127" s="32">
        <f>VLOOKUP($A127,kurspris!$A$1:$Q$262,12,FALSE)</f>
        <v>0</v>
      </c>
      <c r="AL127" s="32">
        <f>VLOOKUP($A127,kurspris!$A$1:$Q$262,13,FALSE)</f>
        <v>0</v>
      </c>
      <c r="AM127" s="32">
        <f>VLOOKUP($A127,kurspris!$A$1:$Q$262,14,FALSE)</f>
        <v>0</v>
      </c>
      <c r="AN127" s="38" t="s">
        <v>946</v>
      </c>
      <c r="AO127"/>
      <c r="AP127" s="32">
        <f t="shared" si="88"/>
        <v>0</v>
      </c>
      <c r="AQ127" s="234">
        <f t="shared" si="89"/>
        <v>0</v>
      </c>
      <c r="AR127" s="32">
        <f t="shared" si="90"/>
        <v>0</v>
      </c>
      <c r="AS127" s="234">
        <f t="shared" si="91"/>
        <v>0</v>
      </c>
      <c r="AT127" s="32">
        <f t="shared" si="92"/>
        <v>0</v>
      </c>
      <c r="AU127" s="32">
        <f t="shared" si="93"/>
        <v>0</v>
      </c>
      <c r="AV127" s="32">
        <f t="shared" si="94"/>
        <v>4</v>
      </c>
      <c r="AW127" s="234">
        <f t="shared" si="95"/>
        <v>4</v>
      </c>
      <c r="AX127" s="226">
        <f t="shared" si="96"/>
        <v>0</v>
      </c>
      <c r="AY127" s="234">
        <f t="shared" si="97"/>
        <v>0</v>
      </c>
      <c r="AZ127" s="32">
        <f t="shared" si="98"/>
        <v>0</v>
      </c>
      <c r="BA127" s="234">
        <f t="shared" si="99"/>
        <v>0</v>
      </c>
      <c r="BB127" s="32">
        <f t="shared" si="100"/>
        <v>0</v>
      </c>
      <c r="BC127" s="234">
        <f t="shared" si="101"/>
        <v>0</v>
      </c>
      <c r="BD127" s="32">
        <f t="shared" si="102"/>
        <v>0</v>
      </c>
      <c r="BE127" s="234">
        <f t="shared" si="103"/>
        <v>0</v>
      </c>
      <c r="BF127" s="32">
        <f t="shared" si="104"/>
        <v>0</v>
      </c>
      <c r="BG127" s="234">
        <f t="shared" si="105"/>
        <v>0</v>
      </c>
      <c r="BH127" s="32">
        <f t="shared" si="106"/>
        <v>0</v>
      </c>
      <c r="BI127" s="32">
        <f t="shared" si="107"/>
        <v>0</v>
      </c>
      <c r="BJ127" s="234">
        <f t="shared" si="108"/>
        <v>0</v>
      </c>
      <c r="BK127" s="32">
        <f t="shared" si="109"/>
        <v>0</v>
      </c>
      <c r="BL127" s="234">
        <f t="shared" si="110"/>
        <v>0</v>
      </c>
    </row>
    <row r="128" spans="1:64" x14ac:dyDescent="0.25">
      <c r="A128" s="221" t="s">
        <v>654</v>
      </c>
      <c r="B128" s="26" t="str">
        <f>VLOOKUP(A128,kurspris!$A$1:$B$304,2,FALSE)</f>
        <v>Examensarbete med ämnesdidaktisk inriktning (VAL, ULV)</v>
      </c>
      <c r="C128" s="56"/>
      <c r="D128" s="32" t="s">
        <v>74</v>
      </c>
      <c r="E128" s="59" t="s">
        <v>932</v>
      </c>
      <c r="F128" s="59" t="s">
        <v>933</v>
      </c>
      <c r="G128" s="59" t="s">
        <v>934</v>
      </c>
      <c r="H128" s="59"/>
      <c r="K128" s="37"/>
      <c r="L128" s="32">
        <v>50</v>
      </c>
      <c r="M128" s="32">
        <v>15</v>
      </c>
      <c r="N128" s="32">
        <v>1</v>
      </c>
      <c r="O128" s="234">
        <f t="shared" si="83"/>
        <v>0.25</v>
      </c>
      <c r="P128" s="39">
        <v>1</v>
      </c>
      <c r="Q128" s="234">
        <f t="shared" si="84"/>
        <v>0.25</v>
      </c>
      <c r="R128" s="32">
        <f>VLOOKUP(A128,'Ansvar kurs'!$A$1:$C$399,2,FALSE)</f>
        <v>2193</v>
      </c>
      <c r="S128" s="32" t="str">
        <f>VLOOKUP(R128,Orgenheter!$A$1:$C$166,2,FALSE)</f>
        <v xml:space="preserve">TUV </v>
      </c>
      <c r="T128" s="32" t="str">
        <f>VLOOKUP(R128,Orgenheter!$A$1:$C$166,3,FALSE)</f>
        <v>Sam</v>
      </c>
      <c r="U128" s="37" t="str">
        <f>VLOOKUP(D128,Program!$A$1:$B$34,2,FALSE)</f>
        <v>VAL-projektet</v>
      </c>
      <c r="V128" s="41">
        <f>VLOOKUP(A128,kurspris!$A$1:$Q$225,15,FALSE)</f>
        <v>24104</v>
      </c>
      <c r="W128" s="41">
        <f>VLOOKUP(A128,kurspris!$A$1:$Q$225,16,FALSE)</f>
        <v>31432</v>
      </c>
      <c r="X128" s="41">
        <f t="shared" si="85"/>
        <v>13884</v>
      </c>
      <c r="Y128" s="41">
        <f>VLOOKUP(A128,kurspris!$A$1:$Q$225,17,FALSE)</f>
        <v>5900</v>
      </c>
      <c r="Z128" s="41">
        <f t="shared" si="86"/>
        <v>1475</v>
      </c>
      <c r="AA128" s="41">
        <f t="shared" si="87"/>
        <v>15359</v>
      </c>
      <c r="AB128" s="32">
        <f>VLOOKUP($A128,kurspris!$A$1:$Q$262,3,FALSE)</f>
        <v>0</v>
      </c>
      <c r="AC128" s="32">
        <f>VLOOKUP($A128,kurspris!$A$1:$Q$262,4,FALSE)</f>
        <v>0</v>
      </c>
      <c r="AD128" s="32">
        <f>VLOOKUP($A128,kurspris!$A$1:$Q$262,5,FALSE)</f>
        <v>0</v>
      </c>
      <c r="AE128" s="32">
        <f>VLOOKUP($A128,kurspris!$A$1:$Q$262,6,FALSE)</f>
        <v>1</v>
      </c>
      <c r="AF128" s="32">
        <f>VLOOKUP($A128,kurspris!$A$1:$Q$262,7,FALSE)</f>
        <v>0</v>
      </c>
      <c r="AG128" s="32">
        <f>VLOOKUP($A128,kurspris!$A$1:$Q$262,8,FALSE)</f>
        <v>0</v>
      </c>
      <c r="AH128" s="32">
        <f>VLOOKUP($A128,kurspris!$A$1:$Q$262,9,FALSE)</f>
        <v>0</v>
      </c>
      <c r="AI128" s="32">
        <f>VLOOKUP($A128,kurspris!$A$1:$Q$262,10,FALSE)</f>
        <v>0</v>
      </c>
      <c r="AJ128" s="32">
        <f>VLOOKUP($A128,kurspris!$A$1:$Q$262,11,FALSE)</f>
        <v>0</v>
      </c>
      <c r="AK128" s="32">
        <f>VLOOKUP($A128,kurspris!$A$1:$Q$262,12,FALSE)</f>
        <v>0</v>
      </c>
      <c r="AL128" s="32">
        <f>VLOOKUP($A128,kurspris!$A$1:$Q$262,13,FALSE)</f>
        <v>0</v>
      </c>
      <c r="AM128" s="32">
        <f>VLOOKUP($A128,kurspris!$A$1:$Q$262,14,FALSE)</f>
        <v>0</v>
      </c>
      <c r="AN128" s="38" t="s">
        <v>946</v>
      </c>
      <c r="AP128" s="32">
        <f t="shared" si="88"/>
        <v>0</v>
      </c>
      <c r="AQ128" s="234">
        <f t="shared" si="89"/>
        <v>0</v>
      </c>
      <c r="AR128" s="32">
        <f t="shared" si="90"/>
        <v>0</v>
      </c>
      <c r="AS128" s="234">
        <f t="shared" si="91"/>
        <v>0</v>
      </c>
      <c r="AT128" s="32">
        <f t="shared" si="92"/>
        <v>0</v>
      </c>
      <c r="AU128" s="32">
        <f t="shared" si="93"/>
        <v>0</v>
      </c>
      <c r="AV128" s="32">
        <f t="shared" si="94"/>
        <v>0.25</v>
      </c>
      <c r="AW128" s="234">
        <f t="shared" si="95"/>
        <v>0.25</v>
      </c>
      <c r="AX128" s="226">
        <f t="shared" si="96"/>
        <v>0</v>
      </c>
      <c r="AY128" s="234">
        <f t="shared" si="97"/>
        <v>0</v>
      </c>
      <c r="AZ128" s="32">
        <f t="shared" si="98"/>
        <v>0</v>
      </c>
      <c r="BA128" s="234">
        <f t="shared" si="99"/>
        <v>0</v>
      </c>
      <c r="BB128" s="32">
        <f t="shared" si="100"/>
        <v>0</v>
      </c>
      <c r="BC128" s="234">
        <f t="shared" si="101"/>
        <v>0</v>
      </c>
      <c r="BD128" s="32">
        <f t="shared" si="102"/>
        <v>0</v>
      </c>
      <c r="BE128" s="234">
        <f t="shared" si="103"/>
        <v>0</v>
      </c>
      <c r="BF128" s="32">
        <f t="shared" si="104"/>
        <v>0</v>
      </c>
      <c r="BG128" s="234">
        <f t="shared" si="105"/>
        <v>0</v>
      </c>
      <c r="BH128" s="32">
        <f t="shared" si="106"/>
        <v>0</v>
      </c>
      <c r="BI128" s="32">
        <f t="shared" si="107"/>
        <v>0</v>
      </c>
      <c r="BJ128" s="234">
        <f t="shared" si="108"/>
        <v>0</v>
      </c>
      <c r="BK128" s="32">
        <f t="shared" si="109"/>
        <v>0</v>
      </c>
      <c r="BL128" s="234">
        <f t="shared" si="110"/>
        <v>0</v>
      </c>
    </row>
    <row r="129" spans="1:66" x14ac:dyDescent="0.25">
      <c r="A129" s="162" t="s">
        <v>654</v>
      </c>
      <c r="B129" s="26" t="str">
        <f>VLOOKUP(A129,kurspris!$A$1:$B$304,2,FALSE)</f>
        <v>Examensarbete med ämnesdidaktisk inriktning (VAL, ULV)</v>
      </c>
      <c r="C129" s="351"/>
      <c r="D129" s="32" t="s">
        <v>74</v>
      </c>
      <c r="E129" s="59" t="s">
        <v>926</v>
      </c>
      <c r="F129" s="59" t="s">
        <v>933</v>
      </c>
      <c r="G129" s="32" t="s">
        <v>934</v>
      </c>
      <c r="H129" s="59"/>
      <c r="K129" s="37"/>
      <c r="L129" s="32">
        <v>50</v>
      </c>
      <c r="M129" s="32">
        <v>15</v>
      </c>
      <c r="N129" s="375">
        <v>1</v>
      </c>
      <c r="O129" s="234">
        <f t="shared" si="83"/>
        <v>0.25</v>
      </c>
      <c r="P129" s="39">
        <v>1</v>
      </c>
      <c r="Q129" s="234">
        <f t="shared" si="84"/>
        <v>0.25</v>
      </c>
      <c r="R129" s="32">
        <f>VLOOKUP(A129,'Ansvar kurs'!$A$1:$C$399,2,FALSE)</f>
        <v>2193</v>
      </c>
      <c r="S129" s="32" t="str">
        <f>VLOOKUP(R129,Orgenheter!$A$1:$C$166,2,FALSE)</f>
        <v xml:space="preserve">TUV </v>
      </c>
      <c r="T129" s="32" t="str">
        <f>VLOOKUP(R129,Orgenheter!$A$1:$C$166,3,FALSE)</f>
        <v>Sam</v>
      </c>
      <c r="U129" s="37" t="str">
        <f>VLOOKUP(D129,Program!$A$1:$B$34,2,FALSE)</f>
        <v>VAL-projektet</v>
      </c>
      <c r="V129" s="41">
        <f>VLOOKUP(A129,kurspris!$A$1:$Q$225,15,FALSE)</f>
        <v>24104</v>
      </c>
      <c r="W129" s="41">
        <f>VLOOKUP(A129,kurspris!$A$1:$Q$225,16,FALSE)</f>
        <v>31432</v>
      </c>
      <c r="X129" s="41">
        <f t="shared" si="85"/>
        <v>13884</v>
      </c>
      <c r="Y129" s="41">
        <f>VLOOKUP(A129,kurspris!$A$1:$Q$225,17,FALSE)</f>
        <v>5900</v>
      </c>
      <c r="Z129" s="41">
        <f t="shared" si="86"/>
        <v>1475</v>
      </c>
      <c r="AA129" s="41">
        <f t="shared" si="87"/>
        <v>15359</v>
      </c>
      <c r="AB129" s="32">
        <f>VLOOKUP($A129,kurspris!$A$1:$Q$262,3,FALSE)</f>
        <v>0</v>
      </c>
      <c r="AC129" s="32">
        <f>VLOOKUP($A129,kurspris!$A$1:$Q$262,4,FALSE)</f>
        <v>0</v>
      </c>
      <c r="AD129" s="32">
        <f>VLOOKUP($A129,kurspris!$A$1:$Q$262,5,FALSE)</f>
        <v>0</v>
      </c>
      <c r="AE129" s="32">
        <f>VLOOKUP($A129,kurspris!$A$1:$Q$262,6,FALSE)</f>
        <v>1</v>
      </c>
      <c r="AF129" s="32">
        <f>VLOOKUP($A129,kurspris!$A$1:$Q$262,7,FALSE)</f>
        <v>0</v>
      </c>
      <c r="AG129" s="32">
        <f>VLOOKUP($A129,kurspris!$A$1:$Q$262,8,FALSE)</f>
        <v>0</v>
      </c>
      <c r="AH129" s="32">
        <f>VLOOKUP($A129,kurspris!$A$1:$Q$262,9,FALSE)</f>
        <v>0</v>
      </c>
      <c r="AI129" s="32">
        <f>VLOOKUP($A129,kurspris!$A$1:$Q$262,10,FALSE)</f>
        <v>0</v>
      </c>
      <c r="AJ129" s="32">
        <f>VLOOKUP($A129,kurspris!$A$1:$Q$262,11,FALSE)</f>
        <v>0</v>
      </c>
      <c r="AK129" s="32">
        <f>VLOOKUP($A129,kurspris!$A$1:$Q$262,12,FALSE)</f>
        <v>0</v>
      </c>
      <c r="AL129" s="32">
        <f>VLOOKUP($A129,kurspris!$A$1:$Q$262,13,FALSE)</f>
        <v>0</v>
      </c>
      <c r="AM129" s="32">
        <f>VLOOKUP($A129,kurspris!$A$1:$Q$262,14,FALSE)</f>
        <v>0</v>
      </c>
      <c r="AN129" s="38" t="s">
        <v>946</v>
      </c>
      <c r="AO129"/>
      <c r="AP129" s="32">
        <f t="shared" si="88"/>
        <v>0</v>
      </c>
      <c r="AQ129" s="234">
        <f t="shared" si="89"/>
        <v>0</v>
      </c>
      <c r="AR129" s="32">
        <f t="shared" si="90"/>
        <v>0</v>
      </c>
      <c r="AS129" s="234">
        <f t="shared" si="91"/>
        <v>0</v>
      </c>
      <c r="AT129" s="32">
        <f t="shared" si="92"/>
        <v>0</v>
      </c>
      <c r="AU129" s="32">
        <f t="shared" si="93"/>
        <v>0</v>
      </c>
      <c r="AV129" s="32">
        <f t="shared" si="94"/>
        <v>0.25</v>
      </c>
      <c r="AW129" s="234">
        <f t="shared" si="95"/>
        <v>0.25</v>
      </c>
      <c r="AX129" s="226">
        <f t="shared" si="96"/>
        <v>0</v>
      </c>
      <c r="AY129" s="234">
        <f t="shared" si="97"/>
        <v>0</v>
      </c>
      <c r="AZ129" s="32">
        <f t="shared" si="98"/>
        <v>0</v>
      </c>
      <c r="BA129" s="234">
        <f t="shared" si="99"/>
        <v>0</v>
      </c>
      <c r="BB129" s="32">
        <f t="shared" si="100"/>
        <v>0</v>
      </c>
      <c r="BC129" s="234">
        <f t="shared" si="101"/>
        <v>0</v>
      </c>
      <c r="BD129" s="32">
        <f t="shared" si="102"/>
        <v>0</v>
      </c>
      <c r="BE129" s="234">
        <f t="shared" si="103"/>
        <v>0</v>
      </c>
      <c r="BF129" s="32">
        <f t="shared" si="104"/>
        <v>0</v>
      </c>
      <c r="BG129" s="234">
        <f t="shared" si="105"/>
        <v>0</v>
      </c>
      <c r="BH129" s="32">
        <f t="shared" si="106"/>
        <v>0</v>
      </c>
      <c r="BI129" s="32">
        <f t="shared" si="107"/>
        <v>0</v>
      </c>
      <c r="BJ129" s="234">
        <f t="shared" si="108"/>
        <v>0</v>
      </c>
      <c r="BK129" s="32">
        <f t="shared" si="109"/>
        <v>0</v>
      </c>
      <c r="BL129" s="234">
        <f t="shared" si="110"/>
        <v>0</v>
      </c>
    </row>
    <row r="130" spans="1:66" x14ac:dyDescent="0.25">
      <c r="A130" s="392" t="s">
        <v>873</v>
      </c>
      <c r="B130" s="26" t="str">
        <f>VLOOKUP(A130,kurspris!$A$1:$B$304,2,FALSE)</f>
        <v>Elever i behov av extra anpassningar och särskilt stöd ur ett fritidshemsperspektiv</v>
      </c>
      <c r="C130" s="56"/>
      <c r="D130" s="32" t="s">
        <v>74</v>
      </c>
      <c r="E130" s="59" t="s">
        <v>925</v>
      </c>
      <c r="F130" s="59" t="s">
        <v>933</v>
      </c>
      <c r="G130" s="59" t="s">
        <v>941</v>
      </c>
      <c r="H130" s="59"/>
      <c r="K130" s="37"/>
      <c r="L130" s="32">
        <v>100</v>
      </c>
      <c r="M130" s="32">
        <v>7.5</v>
      </c>
      <c r="N130" s="32">
        <v>1</v>
      </c>
      <c r="O130" s="234">
        <f t="shared" ref="O130:O138" si="111">N130*M130/60</f>
        <v>0.125</v>
      </c>
      <c r="P130" s="39">
        <v>1</v>
      </c>
      <c r="Q130" s="234">
        <f t="shared" ref="Q130:Q138" si="112">O130*P130</f>
        <v>0.125</v>
      </c>
      <c r="R130" s="32">
        <f>VLOOKUP(A130,'Ansvar kurs'!$A$1:$C$399,2,FALSE)</f>
        <v>2193</v>
      </c>
      <c r="S130" s="32" t="str">
        <f>VLOOKUP(R130,Orgenheter!$A$1:$C$166,2,FALSE)</f>
        <v xml:space="preserve">TUV </v>
      </c>
      <c r="T130" s="32" t="str">
        <f>VLOOKUP(R130,Orgenheter!$A$1:$C$166,3,FALSE)</f>
        <v>Sam</v>
      </c>
      <c r="U130" s="37" t="str">
        <f>VLOOKUP(D130,Program!$A$1:$B$34,2,FALSE)</f>
        <v>VAL-projektet</v>
      </c>
      <c r="V130" s="41">
        <f>VLOOKUP(A130,kurspris!$A$1:$Q$225,15,FALSE)</f>
        <v>19097</v>
      </c>
      <c r="W130" s="41">
        <f>VLOOKUP(A130,kurspris!$A$1:$Q$225,16,FALSE)</f>
        <v>16075</v>
      </c>
      <c r="X130" s="41">
        <f t="shared" ref="X130:X138" si="113">V130*O130+Q130*W130</f>
        <v>4396.5</v>
      </c>
      <c r="Y130" s="41">
        <f>VLOOKUP(A130,kurspris!$A$1:$Q$225,17,FALSE)</f>
        <v>5900</v>
      </c>
      <c r="Z130" s="41">
        <f t="shared" ref="Z130:Z138" si="114">Y130*O130</f>
        <v>737.5</v>
      </c>
      <c r="AA130" s="41">
        <f t="shared" ref="AA130:AA138" si="115">X130+Z130</f>
        <v>5134</v>
      </c>
      <c r="AB130" s="32">
        <f>VLOOKUP($A130,kurspris!$A$1:$Q$262,3,FALSE)</f>
        <v>0</v>
      </c>
      <c r="AC130" s="32">
        <f>VLOOKUP($A130,kurspris!$A$1:$Q$262,4,FALSE)</f>
        <v>0</v>
      </c>
      <c r="AD130" s="32">
        <f>VLOOKUP($A130,kurspris!$A$1:$Q$262,5,FALSE)</f>
        <v>0</v>
      </c>
      <c r="AE130" s="32">
        <f>VLOOKUP($A130,kurspris!$A$1:$Q$262,6,FALSE)</f>
        <v>0</v>
      </c>
      <c r="AF130" s="32">
        <f>VLOOKUP($A130,kurspris!$A$1:$Q$262,7,FALSE)</f>
        <v>0</v>
      </c>
      <c r="AG130" s="32">
        <f>VLOOKUP($A130,kurspris!$A$1:$Q$262,8,FALSE)</f>
        <v>0</v>
      </c>
      <c r="AH130" s="32">
        <f>VLOOKUP($A130,kurspris!$A$1:$Q$262,9,FALSE)</f>
        <v>1</v>
      </c>
      <c r="AI130" s="32">
        <f>VLOOKUP($A130,kurspris!$A$1:$Q$262,10,FALSE)</f>
        <v>0</v>
      </c>
      <c r="AJ130" s="32">
        <f>VLOOKUP($A130,kurspris!$A$1:$Q$262,11,FALSE)</f>
        <v>0</v>
      </c>
      <c r="AK130" s="32">
        <f>VLOOKUP($A130,kurspris!$A$1:$Q$262,12,FALSE)</f>
        <v>0</v>
      </c>
      <c r="AL130" s="32">
        <f>VLOOKUP($A130,kurspris!$A$1:$Q$262,13,FALSE)</f>
        <v>0</v>
      </c>
      <c r="AM130" s="32">
        <f>VLOOKUP($A130,kurspris!$A$1:$Q$262,14,FALSE)</f>
        <v>0</v>
      </c>
      <c r="AN130" s="38" t="s">
        <v>946</v>
      </c>
      <c r="AP130" s="32">
        <f t="shared" ref="AP130:AP138" si="116">$O130*AB130</f>
        <v>0</v>
      </c>
      <c r="AQ130" s="234">
        <f t="shared" ref="AQ130:AQ138" si="117">$Q130*AB130</f>
        <v>0</v>
      </c>
      <c r="AR130" s="32">
        <f t="shared" ref="AR130:AR138" si="118">$O130*AC130</f>
        <v>0</v>
      </c>
      <c r="AS130" s="234">
        <f t="shared" ref="AS130:AS138" si="119">$Q130*AC130</f>
        <v>0</v>
      </c>
      <c r="AT130" s="32">
        <f t="shared" ref="AT130:AT138" si="120">$O130*AD130</f>
        <v>0</v>
      </c>
      <c r="AU130" s="32">
        <f t="shared" ref="AU130:AU138" si="121">$Q130*AD130</f>
        <v>0</v>
      </c>
      <c r="AV130" s="32">
        <f t="shared" ref="AV130:AV138" si="122">$O130*AE130</f>
        <v>0</v>
      </c>
      <c r="AW130" s="234">
        <f t="shared" ref="AW130:AW138" si="123">$Q130*AE130</f>
        <v>0</v>
      </c>
      <c r="AX130" s="226">
        <f t="shared" ref="AX130:AX138" si="124">$O130*AF130</f>
        <v>0</v>
      </c>
      <c r="AY130" s="234">
        <f t="shared" ref="AY130:AY138" si="125">$Q130*AF130</f>
        <v>0</v>
      </c>
      <c r="AZ130" s="32">
        <f t="shared" ref="AZ130:AZ138" si="126">$O130*AG130</f>
        <v>0</v>
      </c>
      <c r="BA130" s="234">
        <f t="shared" ref="BA130:BA138" si="127">$Q130*AG130</f>
        <v>0</v>
      </c>
      <c r="BB130" s="32">
        <f t="shared" ref="BB130:BB138" si="128">$O130*AH130</f>
        <v>0.125</v>
      </c>
      <c r="BC130" s="234">
        <f t="shared" ref="BC130:BC138" si="129">$Q130*AH130</f>
        <v>0.125</v>
      </c>
      <c r="BD130" s="32">
        <f t="shared" ref="BD130:BD138" si="130">$O130*AI130</f>
        <v>0</v>
      </c>
      <c r="BE130" s="234">
        <f t="shared" ref="BE130:BE138" si="131">$Q130*AI130</f>
        <v>0</v>
      </c>
      <c r="BF130" s="32">
        <f t="shared" ref="BF130:BF138" si="132">$O130*AJ130</f>
        <v>0</v>
      </c>
      <c r="BG130" s="234">
        <f t="shared" ref="BG130:BG138" si="133">$Q130*AJ130</f>
        <v>0</v>
      </c>
      <c r="BH130" s="32">
        <f t="shared" ref="BH130:BH138" si="134">$O130*AK130</f>
        <v>0</v>
      </c>
      <c r="BI130" s="32">
        <f t="shared" ref="BI130:BI138" si="135">$O130*AL130</f>
        <v>0</v>
      </c>
      <c r="BJ130" s="234">
        <f t="shared" ref="BJ130:BJ138" si="136">$Q130*AL130</f>
        <v>0</v>
      </c>
      <c r="BK130" s="32">
        <f t="shared" ref="BK130:BK138" si="137">$O130*AM130</f>
        <v>0</v>
      </c>
      <c r="BL130" s="234">
        <f t="shared" ref="BL130:BL138" si="138">$Q130*AM130</f>
        <v>0</v>
      </c>
    </row>
    <row r="131" spans="1:66" x14ac:dyDescent="0.25">
      <c r="A131" s="221" t="s">
        <v>398</v>
      </c>
      <c r="B131" s="26" t="str">
        <f>VLOOKUP(A131,kurspris!$A$1:$B$304,2,FALSE)</f>
        <v>Slöjd, Trä- och metall 2a, distans</v>
      </c>
      <c r="C131" s="56"/>
      <c r="D131" s="32" t="s">
        <v>74</v>
      </c>
      <c r="E131" s="59" t="s">
        <v>925</v>
      </c>
      <c r="F131" s="59" t="s">
        <v>933</v>
      </c>
      <c r="G131" s="59" t="s">
        <v>934</v>
      </c>
      <c r="H131" s="59"/>
      <c r="K131" s="37"/>
      <c r="L131" s="32">
        <v>50</v>
      </c>
      <c r="M131" s="32">
        <v>15</v>
      </c>
      <c r="N131" s="56">
        <v>2</v>
      </c>
      <c r="O131" s="234">
        <f t="shared" si="111"/>
        <v>0.5</v>
      </c>
      <c r="P131" s="39">
        <v>1</v>
      </c>
      <c r="Q131" s="234">
        <f t="shared" si="112"/>
        <v>0.5</v>
      </c>
      <c r="R131" s="32">
        <f>VLOOKUP(A131,'Ansvar kurs'!$A$1:$C$399,2,FALSE)</f>
        <v>1650</v>
      </c>
      <c r="S131" s="32" t="str">
        <f>VLOOKUP(R131,Orgenheter!$A$1:$C$166,2,FALSE)</f>
        <v xml:space="preserve">Estetiska ämnen               </v>
      </c>
      <c r="T131" s="32" t="str">
        <f>VLOOKUP(R131,Orgenheter!$A$1:$C$166,3,FALSE)</f>
        <v>Hum</v>
      </c>
      <c r="U131" s="37" t="str">
        <f>VLOOKUP(D131,Program!$A$1:$B$34,2,FALSE)</f>
        <v>VAL-projektet</v>
      </c>
      <c r="V131" s="41">
        <f>VLOOKUP(A131,kurspris!$A$1:$Q$225,15,FALSE)</f>
        <v>19863</v>
      </c>
      <c r="W131" s="41">
        <f>VLOOKUP(A131,kurspris!$A$1:$Q$225,16,FALSE)</f>
        <v>35472</v>
      </c>
      <c r="X131" s="41">
        <f t="shared" si="113"/>
        <v>27667.5</v>
      </c>
      <c r="Y131" s="41">
        <f>VLOOKUP(A131,kurspris!$A$1:$Q$225,17,FALSE)</f>
        <v>22200</v>
      </c>
      <c r="Z131" s="41">
        <f t="shared" si="114"/>
        <v>11100</v>
      </c>
      <c r="AA131" s="41">
        <f t="shared" si="115"/>
        <v>38767.5</v>
      </c>
      <c r="AB131" s="32">
        <f>VLOOKUP($A131,kurspris!$A$1:$Q$262,3,FALSE)</f>
        <v>0</v>
      </c>
      <c r="AC131" s="32">
        <f>VLOOKUP($A131,kurspris!$A$1:$Q$262,4,FALSE)</f>
        <v>0</v>
      </c>
      <c r="AD131" s="32">
        <f>VLOOKUP($A131,kurspris!$A$1:$Q$262,5,FALSE)</f>
        <v>0</v>
      </c>
      <c r="AE131" s="32">
        <f>VLOOKUP($A131,kurspris!$A$1:$Q$262,6,FALSE)</f>
        <v>0</v>
      </c>
      <c r="AF131" s="32">
        <f>VLOOKUP($A131,kurspris!$A$1:$Q$262,7,FALSE)</f>
        <v>0</v>
      </c>
      <c r="AG131" s="32">
        <f>VLOOKUP($A131,kurspris!$A$1:$Q$262,8,FALSE)</f>
        <v>0</v>
      </c>
      <c r="AH131" s="32">
        <f>VLOOKUP($A131,kurspris!$A$1:$Q$262,9,FALSE)</f>
        <v>0</v>
      </c>
      <c r="AI131" s="32">
        <f>VLOOKUP($A131,kurspris!$A$1:$Q$262,10,FALSE)</f>
        <v>1</v>
      </c>
      <c r="AJ131" s="32">
        <f>VLOOKUP($A131,kurspris!$A$1:$Q$262,11,FALSE)</f>
        <v>0</v>
      </c>
      <c r="AK131" s="32">
        <f>VLOOKUP($A131,kurspris!$A$1:$Q$262,12,FALSE)</f>
        <v>0</v>
      </c>
      <c r="AL131" s="32">
        <f>VLOOKUP($A131,kurspris!$A$1:$Q$262,13,FALSE)</f>
        <v>0</v>
      </c>
      <c r="AM131" s="32">
        <f>VLOOKUP($A131,kurspris!$A$1:$Q$262,14,FALSE)</f>
        <v>0</v>
      </c>
      <c r="AN131" s="38" t="s">
        <v>946</v>
      </c>
      <c r="AO131"/>
      <c r="AP131" s="32">
        <f t="shared" si="116"/>
        <v>0</v>
      </c>
      <c r="AQ131" s="234">
        <f t="shared" si="117"/>
        <v>0</v>
      </c>
      <c r="AR131" s="32">
        <f t="shared" si="118"/>
        <v>0</v>
      </c>
      <c r="AS131" s="234">
        <f t="shared" si="119"/>
        <v>0</v>
      </c>
      <c r="AT131" s="32">
        <f t="shared" si="120"/>
        <v>0</v>
      </c>
      <c r="AU131" s="32">
        <f t="shared" si="121"/>
        <v>0</v>
      </c>
      <c r="AV131" s="32">
        <f t="shared" si="122"/>
        <v>0</v>
      </c>
      <c r="AW131" s="234">
        <f t="shared" si="123"/>
        <v>0</v>
      </c>
      <c r="AX131" s="226">
        <f t="shared" si="124"/>
        <v>0</v>
      </c>
      <c r="AY131" s="234">
        <f t="shared" si="125"/>
        <v>0</v>
      </c>
      <c r="AZ131" s="32">
        <f t="shared" si="126"/>
        <v>0</v>
      </c>
      <c r="BA131" s="234">
        <f t="shared" si="127"/>
        <v>0</v>
      </c>
      <c r="BB131" s="32">
        <f t="shared" si="128"/>
        <v>0</v>
      </c>
      <c r="BC131" s="234">
        <f t="shared" si="129"/>
        <v>0</v>
      </c>
      <c r="BD131" s="32">
        <f t="shared" si="130"/>
        <v>0.5</v>
      </c>
      <c r="BE131" s="234">
        <f t="shared" si="131"/>
        <v>0.5</v>
      </c>
      <c r="BF131" s="32">
        <f t="shared" si="132"/>
        <v>0</v>
      </c>
      <c r="BG131" s="234">
        <f t="shared" si="133"/>
        <v>0</v>
      </c>
      <c r="BH131" s="32">
        <f t="shared" si="134"/>
        <v>0</v>
      </c>
      <c r="BI131" s="32">
        <f t="shared" si="135"/>
        <v>0</v>
      </c>
      <c r="BJ131" s="234">
        <f t="shared" si="136"/>
        <v>0</v>
      </c>
      <c r="BK131" s="32">
        <f t="shared" si="137"/>
        <v>0</v>
      </c>
      <c r="BL131" s="234">
        <f t="shared" si="138"/>
        <v>0</v>
      </c>
    </row>
    <row r="132" spans="1:66" x14ac:dyDescent="0.25">
      <c r="A132" s="221" t="s">
        <v>748</v>
      </c>
      <c r="B132" s="26" t="str">
        <f>VLOOKUP(A132,kurspris!$A$1:$B$304,2,FALSE)</f>
        <v>Slöjd 1, Trä- och metall</v>
      </c>
      <c r="C132" s="56"/>
      <c r="D132" s="32" t="s">
        <v>74</v>
      </c>
      <c r="E132" s="59" t="s">
        <v>925</v>
      </c>
      <c r="F132" s="59" t="s">
        <v>933</v>
      </c>
      <c r="G132" s="59" t="s">
        <v>935</v>
      </c>
      <c r="H132" s="59"/>
      <c r="K132" s="37"/>
      <c r="L132" s="32">
        <v>50</v>
      </c>
      <c r="M132" s="418">
        <v>15</v>
      </c>
      <c r="N132" s="32">
        <v>1</v>
      </c>
      <c r="O132" s="234">
        <f t="shared" si="111"/>
        <v>0.25</v>
      </c>
      <c r="P132" s="39">
        <v>1</v>
      </c>
      <c r="Q132" s="234">
        <f t="shared" si="112"/>
        <v>0.25</v>
      </c>
      <c r="R132" s="32">
        <f>VLOOKUP(A132,'Ansvar kurs'!$A$1:$C$399,2,FALSE)</f>
        <v>1650</v>
      </c>
      <c r="S132" s="32" t="str">
        <f>VLOOKUP(R132,Orgenheter!$A$1:$C$166,2,FALSE)</f>
        <v xml:space="preserve">Estetiska ämnen               </v>
      </c>
      <c r="T132" s="32" t="str">
        <f>VLOOKUP(R132,Orgenheter!$A$1:$C$166,3,FALSE)</f>
        <v>Hum</v>
      </c>
      <c r="U132" s="37" t="str">
        <f>VLOOKUP(D132,Program!$A$1:$B$34,2,FALSE)</f>
        <v>VAL-projektet</v>
      </c>
      <c r="V132" s="41">
        <f>VLOOKUP(A132,kurspris!$A$1:$Q$225,15,FALSE)</f>
        <v>19863</v>
      </c>
      <c r="W132" s="41">
        <f>VLOOKUP(A132,kurspris!$A$1:$Q$225,16,FALSE)</f>
        <v>35472</v>
      </c>
      <c r="X132" s="41">
        <f t="shared" si="113"/>
        <v>13833.75</v>
      </c>
      <c r="Y132" s="41">
        <f>VLOOKUP(A132,kurspris!$A$1:$Q$225,17,FALSE)</f>
        <v>22200</v>
      </c>
      <c r="Z132" s="41">
        <f t="shared" si="114"/>
        <v>5550</v>
      </c>
      <c r="AA132" s="41">
        <f t="shared" si="115"/>
        <v>19383.75</v>
      </c>
      <c r="AB132" s="32">
        <f>VLOOKUP($A132,kurspris!$A$1:$Q$262,3,FALSE)</f>
        <v>0</v>
      </c>
      <c r="AC132" s="32">
        <f>VLOOKUP($A132,kurspris!$A$1:$Q$262,4,FALSE)</f>
        <v>0</v>
      </c>
      <c r="AD132" s="32">
        <f>VLOOKUP($A132,kurspris!$A$1:$Q$262,5,FALSE)</f>
        <v>0</v>
      </c>
      <c r="AE132" s="32">
        <f>VLOOKUP($A132,kurspris!$A$1:$Q$262,6,FALSE)</f>
        <v>0</v>
      </c>
      <c r="AF132" s="32">
        <f>VLOOKUP($A132,kurspris!$A$1:$Q$262,7,FALSE)</f>
        <v>0</v>
      </c>
      <c r="AG132" s="32">
        <f>VLOOKUP($A132,kurspris!$A$1:$Q$262,8,FALSE)</f>
        <v>0</v>
      </c>
      <c r="AH132" s="32">
        <f>VLOOKUP($A132,kurspris!$A$1:$Q$262,9,FALSE)</f>
        <v>0</v>
      </c>
      <c r="AI132" s="32">
        <f>VLOOKUP($A132,kurspris!$A$1:$Q$262,10,FALSE)</f>
        <v>1</v>
      </c>
      <c r="AJ132" s="32">
        <f>VLOOKUP($A132,kurspris!$A$1:$Q$262,11,FALSE)</f>
        <v>0</v>
      </c>
      <c r="AK132" s="32">
        <f>VLOOKUP($A132,kurspris!$A$1:$Q$262,12,FALSE)</f>
        <v>0</v>
      </c>
      <c r="AL132" s="32">
        <f>VLOOKUP($A132,kurspris!$A$1:$Q$262,13,FALSE)</f>
        <v>0</v>
      </c>
      <c r="AM132" s="32">
        <f>VLOOKUP($A132,kurspris!$A$1:$Q$262,14,FALSE)</f>
        <v>0</v>
      </c>
      <c r="AN132" s="38" t="s">
        <v>946</v>
      </c>
      <c r="AO132" t="s">
        <v>947</v>
      </c>
      <c r="AP132" s="32">
        <f t="shared" si="116"/>
        <v>0</v>
      </c>
      <c r="AQ132" s="234">
        <f t="shared" si="117"/>
        <v>0</v>
      </c>
      <c r="AR132" s="32">
        <f t="shared" si="118"/>
        <v>0</v>
      </c>
      <c r="AS132" s="234">
        <f t="shared" si="119"/>
        <v>0</v>
      </c>
      <c r="AT132" s="32">
        <f t="shared" si="120"/>
        <v>0</v>
      </c>
      <c r="AU132" s="32">
        <f t="shared" si="121"/>
        <v>0</v>
      </c>
      <c r="AV132" s="32">
        <f t="shared" si="122"/>
        <v>0</v>
      </c>
      <c r="AW132" s="234">
        <f t="shared" si="123"/>
        <v>0</v>
      </c>
      <c r="AX132" s="226">
        <f t="shared" si="124"/>
        <v>0</v>
      </c>
      <c r="AY132" s="234">
        <f t="shared" si="125"/>
        <v>0</v>
      </c>
      <c r="AZ132" s="32">
        <f t="shared" si="126"/>
        <v>0</v>
      </c>
      <c r="BA132" s="234">
        <f t="shared" si="127"/>
        <v>0</v>
      </c>
      <c r="BB132" s="32">
        <f t="shared" si="128"/>
        <v>0</v>
      </c>
      <c r="BC132" s="234">
        <f t="shared" si="129"/>
        <v>0</v>
      </c>
      <c r="BD132" s="32">
        <f t="shared" si="130"/>
        <v>0.25</v>
      </c>
      <c r="BE132" s="234">
        <f t="shared" si="131"/>
        <v>0.25</v>
      </c>
      <c r="BF132" s="32">
        <f t="shared" si="132"/>
        <v>0</v>
      </c>
      <c r="BG132" s="234">
        <f t="shared" si="133"/>
        <v>0</v>
      </c>
      <c r="BH132" s="32">
        <f t="shared" si="134"/>
        <v>0</v>
      </c>
      <c r="BI132" s="32">
        <f t="shared" si="135"/>
        <v>0</v>
      </c>
      <c r="BJ132" s="234">
        <f t="shared" si="136"/>
        <v>0</v>
      </c>
      <c r="BK132" s="32">
        <f t="shared" si="137"/>
        <v>0</v>
      </c>
      <c r="BL132" s="234">
        <f t="shared" si="138"/>
        <v>0</v>
      </c>
    </row>
    <row r="133" spans="1:66" x14ac:dyDescent="0.25">
      <c r="A133" s="221" t="s">
        <v>574</v>
      </c>
      <c r="B133" s="26" t="str">
        <f>VLOOKUP(A133,kurspris!$A$1:$B$304,2,FALSE)</f>
        <v>Form, färg, estetik och uttryck - Utveckla ditt formspråk i trä</v>
      </c>
      <c r="C133" s="56"/>
      <c r="D133" s="32" t="s">
        <v>74</v>
      </c>
      <c r="E133" s="59" t="s">
        <v>929</v>
      </c>
      <c r="F133" s="59" t="s">
        <v>933</v>
      </c>
      <c r="G133" s="59" t="s">
        <v>934</v>
      </c>
      <c r="H133" s="59"/>
      <c r="K133" s="37"/>
      <c r="L133" s="32">
        <v>50</v>
      </c>
      <c r="M133" s="32">
        <v>15</v>
      </c>
      <c r="N133" s="32">
        <v>1</v>
      </c>
      <c r="O133" s="234">
        <f t="shared" si="111"/>
        <v>0.25</v>
      </c>
      <c r="P133" s="39">
        <v>1</v>
      </c>
      <c r="Q133" s="234">
        <f t="shared" si="112"/>
        <v>0.25</v>
      </c>
      <c r="R133" s="32">
        <f>VLOOKUP(A133,'Ansvar kurs'!$A$1:$C$399,2,FALSE)</f>
        <v>1650</v>
      </c>
      <c r="S133" s="32" t="str">
        <f>VLOOKUP(R133,Orgenheter!$A$1:$C$166,2,FALSE)</f>
        <v xml:space="preserve">Estetiska ämnen               </v>
      </c>
      <c r="T133" s="32" t="str">
        <f>VLOOKUP(R133,Orgenheter!$A$1:$C$166,3,FALSE)</f>
        <v>Hum</v>
      </c>
      <c r="U133" s="37" t="str">
        <f>VLOOKUP(D133,Program!$A$1:$B$34,2,FALSE)</f>
        <v>VAL-projektet</v>
      </c>
      <c r="V133" s="41">
        <f>VLOOKUP(A133,kurspris!$A$1:$Q$225,15,FALSE)</f>
        <v>19863</v>
      </c>
      <c r="W133" s="41">
        <f>VLOOKUP(A133,kurspris!$A$1:$Q$225,16,FALSE)</f>
        <v>35472</v>
      </c>
      <c r="X133" s="41">
        <f t="shared" si="113"/>
        <v>13833.75</v>
      </c>
      <c r="Y133" s="41">
        <f>VLOOKUP(A133,kurspris!$A$1:$Q$225,17,FALSE)</f>
        <v>22200</v>
      </c>
      <c r="Z133" s="41">
        <f t="shared" si="114"/>
        <v>5550</v>
      </c>
      <c r="AA133" s="41">
        <f t="shared" si="115"/>
        <v>19383.75</v>
      </c>
      <c r="AB133" s="32">
        <f>VLOOKUP($A133,kurspris!$A$1:$Q$262,3,FALSE)</f>
        <v>0</v>
      </c>
      <c r="AC133" s="32">
        <f>VLOOKUP($A133,kurspris!$A$1:$Q$262,4,FALSE)</f>
        <v>0</v>
      </c>
      <c r="AD133" s="32">
        <f>VLOOKUP($A133,kurspris!$A$1:$Q$262,5,FALSE)</f>
        <v>0</v>
      </c>
      <c r="AE133" s="32">
        <f>VLOOKUP($A133,kurspris!$A$1:$Q$262,6,FALSE)</f>
        <v>0</v>
      </c>
      <c r="AF133" s="32">
        <f>VLOOKUP($A133,kurspris!$A$1:$Q$262,7,FALSE)</f>
        <v>0</v>
      </c>
      <c r="AG133" s="32">
        <f>VLOOKUP($A133,kurspris!$A$1:$Q$262,8,FALSE)</f>
        <v>0</v>
      </c>
      <c r="AH133" s="32">
        <f>VLOOKUP($A133,kurspris!$A$1:$Q$262,9,FALSE)</f>
        <v>0</v>
      </c>
      <c r="AI133" s="32">
        <f>VLOOKUP($A133,kurspris!$A$1:$Q$262,10,FALSE)</f>
        <v>1</v>
      </c>
      <c r="AJ133" s="32">
        <f>VLOOKUP($A133,kurspris!$A$1:$Q$262,11,FALSE)</f>
        <v>0</v>
      </c>
      <c r="AK133" s="32">
        <f>VLOOKUP($A133,kurspris!$A$1:$Q$262,12,FALSE)</f>
        <v>0</v>
      </c>
      <c r="AL133" s="32">
        <f>VLOOKUP($A133,kurspris!$A$1:$Q$262,13,FALSE)</f>
        <v>0</v>
      </c>
      <c r="AM133" s="32">
        <f>VLOOKUP($A133,kurspris!$A$1:$Q$262,14,FALSE)</f>
        <v>0</v>
      </c>
      <c r="AN133" s="38" t="s">
        <v>946</v>
      </c>
      <c r="AP133" s="32">
        <f t="shared" si="116"/>
        <v>0</v>
      </c>
      <c r="AQ133" s="234">
        <f t="shared" si="117"/>
        <v>0</v>
      </c>
      <c r="AR133" s="32">
        <f t="shared" si="118"/>
        <v>0</v>
      </c>
      <c r="AS133" s="234">
        <f t="shared" si="119"/>
        <v>0</v>
      </c>
      <c r="AT133" s="32">
        <f t="shared" si="120"/>
        <v>0</v>
      </c>
      <c r="AU133" s="32">
        <f t="shared" si="121"/>
        <v>0</v>
      </c>
      <c r="AV133" s="32">
        <f t="shared" si="122"/>
        <v>0</v>
      </c>
      <c r="AW133" s="234">
        <f t="shared" si="123"/>
        <v>0</v>
      </c>
      <c r="AX133" s="226">
        <f t="shared" si="124"/>
        <v>0</v>
      </c>
      <c r="AY133" s="234">
        <f t="shared" si="125"/>
        <v>0</v>
      </c>
      <c r="AZ133" s="32">
        <f t="shared" si="126"/>
        <v>0</v>
      </c>
      <c r="BA133" s="234">
        <f t="shared" si="127"/>
        <v>0</v>
      </c>
      <c r="BB133" s="32">
        <f t="shared" si="128"/>
        <v>0</v>
      </c>
      <c r="BC133" s="234">
        <f t="shared" si="129"/>
        <v>0</v>
      </c>
      <c r="BD133" s="32">
        <f t="shared" si="130"/>
        <v>0.25</v>
      </c>
      <c r="BE133" s="234">
        <f t="shared" si="131"/>
        <v>0.25</v>
      </c>
      <c r="BF133" s="32">
        <f t="shared" si="132"/>
        <v>0</v>
      </c>
      <c r="BG133" s="234">
        <f t="shared" si="133"/>
        <v>0</v>
      </c>
      <c r="BH133" s="32">
        <f t="shared" si="134"/>
        <v>0</v>
      </c>
      <c r="BI133" s="32">
        <f t="shared" si="135"/>
        <v>0</v>
      </c>
      <c r="BJ133" s="234">
        <f t="shared" si="136"/>
        <v>0</v>
      </c>
      <c r="BK133" s="32">
        <f t="shared" si="137"/>
        <v>0</v>
      </c>
      <c r="BL133" s="234">
        <f t="shared" si="138"/>
        <v>0</v>
      </c>
    </row>
    <row r="134" spans="1:66" x14ac:dyDescent="0.25">
      <c r="A134" s="392" t="s">
        <v>574</v>
      </c>
      <c r="B134" s="26" t="str">
        <f>VLOOKUP(A134,kurspris!$A$1:$B$304,2,FALSE)</f>
        <v>Form, färg, estetik och uttryck - Utveckla ditt formspråk i trä</v>
      </c>
      <c r="C134" s="56"/>
      <c r="D134" s="32" t="s">
        <v>74</v>
      </c>
      <c r="E134" s="59" t="s">
        <v>925</v>
      </c>
      <c r="F134" s="59" t="s">
        <v>933</v>
      </c>
      <c r="G134" s="59" t="s">
        <v>934</v>
      </c>
      <c r="H134" s="59"/>
      <c r="K134" s="37"/>
      <c r="L134" s="32">
        <v>50</v>
      </c>
      <c r="M134" s="32">
        <v>15</v>
      </c>
      <c r="N134" s="32">
        <v>3</v>
      </c>
      <c r="O134" s="234">
        <f t="shared" si="111"/>
        <v>0.75</v>
      </c>
      <c r="P134" s="39">
        <v>1</v>
      </c>
      <c r="Q134" s="234">
        <f t="shared" si="112"/>
        <v>0.75</v>
      </c>
      <c r="R134" s="32">
        <f>VLOOKUP(A134,'Ansvar kurs'!$A$1:$C$399,2,FALSE)</f>
        <v>1650</v>
      </c>
      <c r="S134" s="32" t="str">
        <f>VLOOKUP(R134,Orgenheter!$A$1:$C$166,2,FALSE)</f>
        <v xml:space="preserve">Estetiska ämnen               </v>
      </c>
      <c r="T134" s="32" t="str">
        <f>VLOOKUP(R134,Orgenheter!$A$1:$C$166,3,FALSE)</f>
        <v>Hum</v>
      </c>
      <c r="U134" s="37" t="str">
        <f>VLOOKUP(D134,Program!$A$1:$B$34,2,FALSE)</f>
        <v>VAL-projektet</v>
      </c>
      <c r="V134" s="41">
        <f>VLOOKUP(A134,kurspris!$A$1:$Q$225,15,FALSE)</f>
        <v>19863</v>
      </c>
      <c r="W134" s="41">
        <f>VLOOKUP(A134,kurspris!$A$1:$Q$225,16,FALSE)</f>
        <v>35472</v>
      </c>
      <c r="X134" s="41">
        <f t="shared" si="113"/>
        <v>41501.25</v>
      </c>
      <c r="Y134" s="41">
        <f>VLOOKUP(A134,kurspris!$A$1:$Q$225,17,FALSE)</f>
        <v>22200</v>
      </c>
      <c r="Z134" s="41">
        <f t="shared" si="114"/>
        <v>16650</v>
      </c>
      <c r="AA134" s="41">
        <f t="shared" si="115"/>
        <v>58151.25</v>
      </c>
      <c r="AB134" s="32">
        <f>VLOOKUP($A134,kurspris!$A$1:$Q$262,3,FALSE)</f>
        <v>0</v>
      </c>
      <c r="AC134" s="32">
        <f>VLOOKUP($A134,kurspris!$A$1:$Q$262,4,FALSE)</f>
        <v>0</v>
      </c>
      <c r="AD134" s="32">
        <f>VLOOKUP($A134,kurspris!$A$1:$Q$262,5,FALSE)</f>
        <v>0</v>
      </c>
      <c r="AE134" s="32">
        <f>VLOOKUP($A134,kurspris!$A$1:$Q$262,6,FALSE)</f>
        <v>0</v>
      </c>
      <c r="AF134" s="32">
        <f>VLOOKUP($A134,kurspris!$A$1:$Q$262,7,FALSE)</f>
        <v>0</v>
      </c>
      <c r="AG134" s="32">
        <f>VLOOKUP($A134,kurspris!$A$1:$Q$262,8,FALSE)</f>
        <v>0</v>
      </c>
      <c r="AH134" s="32">
        <f>VLOOKUP($A134,kurspris!$A$1:$Q$262,9,FALSE)</f>
        <v>0</v>
      </c>
      <c r="AI134" s="32">
        <f>VLOOKUP($A134,kurspris!$A$1:$Q$262,10,FALSE)</f>
        <v>1</v>
      </c>
      <c r="AJ134" s="32">
        <f>VLOOKUP($A134,kurspris!$A$1:$Q$262,11,FALSE)</f>
        <v>0</v>
      </c>
      <c r="AK134" s="32">
        <f>VLOOKUP($A134,kurspris!$A$1:$Q$262,12,FALSE)</f>
        <v>0</v>
      </c>
      <c r="AL134" s="32">
        <f>VLOOKUP($A134,kurspris!$A$1:$Q$262,13,FALSE)</f>
        <v>0</v>
      </c>
      <c r="AM134" s="32">
        <f>VLOOKUP($A134,kurspris!$A$1:$Q$262,14,FALSE)</f>
        <v>0</v>
      </c>
      <c r="AN134" s="38" t="s">
        <v>946</v>
      </c>
      <c r="AP134" s="32">
        <f t="shared" si="116"/>
        <v>0</v>
      </c>
      <c r="AQ134" s="234">
        <f t="shared" si="117"/>
        <v>0</v>
      </c>
      <c r="AR134" s="32">
        <f t="shared" si="118"/>
        <v>0</v>
      </c>
      <c r="AS134" s="234">
        <f t="shared" si="119"/>
        <v>0</v>
      </c>
      <c r="AT134" s="32">
        <f t="shared" si="120"/>
        <v>0</v>
      </c>
      <c r="AU134" s="32">
        <f t="shared" si="121"/>
        <v>0</v>
      </c>
      <c r="AV134" s="32">
        <f t="shared" si="122"/>
        <v>0</v>
      </c>
      <c r="AW134" s="234">
        <f t="shared" si="123"/>
        <v>0</v>
      </c>
      <c r="AX134" s="226">
        <f t="shared" si="124"/>
        <v>0</v>
      </c>
      <c r="AY134" s="234">
        <f t="shared" si="125"/>
        <v>0</v>
      </c>
      <c r="AZ134" s="32">
        <f t="shared" si="126"/>
        <v>0</v>
      </c>
      <c r="BA134" s="234">
        <f t="shared" si="127"/>
        <v>0</v>
      </c>
      <c r="BB134" s="32">
        <f t="shared" si="128"/>
        <v>0</v>
      </c>
      <c r="BC134" s="234">
        <f t="shared" si="129"/>
        <v>0</v>
      </c>
      <c r="BD134" s="32">
        <f t="shared" si="130"/>
        <v>0.75</v>
      </c>
      <c r="BE134" s="234">
        <f t="shared" si="131"/>
        <v>0.75</v>
      </c>
      <c r="BF134" s="32">
        <f t="shared" si="132"/>
        <v>0</v>
      </c>
      <c r="BG134" s="234">
        <f t="shared" si="133"/>
        <v>0</v>
      </c>
      <c r="BH134" s="32">
        <f t="shared" si="134"/>
        <v>0</v>
      </c>
      <c r="BI134" s="32">
        <f t="shared" si="135"/>
        <v>0</v>
      </c>
      <c r="BJ134" s="234">
        <f t="shared" si="136"/>
        <v>0</v>
      </c>
      <c r="BK134" s="32">
        <f t="shared" si="137"/>
        <v>0</v>
      </c>
      <c r="BL134" s="234">
        <f t="shared" si="138"/>
        <v>0</v>
      </c>
    </row>
    <row r="135" spans="1:66" x14ac:dyDescent="0.25">
      <c r="A135" s="392" t="s">
        <v>574</v>
      </c>
      <c r="B135" s="26" t="str">
        <f>VLOOKUP(A135,kurspris!$A$1:$B$304,2,FALSE)</f>
        <v>Form, färg, estetik och uttryck - Utveckla ditt formspråk i trä</v>
      </c>
      <c r="C135" s="56"/>
      <c r="D135" s="32" t="s">
        <v>74</v>
      </c>
      <c r="E135" s="59" t="s">
        <v>927</v>
      </c>
      <c r="F135" s="59" t="s">
        <v>933</v>
      </c>
      <c r="G135" s="59" t="s">
        <v>934</v>
      </c>
      <c r="H135" s="59"/>
      <c r="K135" s="37"/>
      <c r="L135" s="32">
        <v>50</v>
      </c>
      <c r="M135" s="32">
        <v>15</v>
      </c>
      <c r="N135" s="32">
        <v>2</v>
      </c>
      <c r="O135" s="234">
        <f t="shared" si="111"/>
        <v>0.5</v>
      </c>
      <c r="P135" s="39">
        <v>1</v>
      </c>
      <c r="Q135" s="234">
        <f t="shared" si="112"/>
        <v>0.5</v>
      </c>
      <c r="R135" s="32">
        <f>VLOOKUP(A135,'Ansvar kurs'!$A$1:$C$399,2,FALSE)</f>
        <v>1650</v>
      </c>
      <c r="S135" s="32" t="str">
        <f>VLOOKUP(R135,Orgenheter!$A$1:$C$166,2,FALSE)</f>
        <v xml:space="preserve">Estetiska ämnen               </v>
      </c>
      <c r="T135" s="32" t="str">
        <f>VLOOKUP(R135,Orgenheter!$A$1:$C$166,3,FALSE)</f>
        <v>Hum</v>
      </c>
      <c r="U135" s="37" t="str">
        <f>VLOOKUP(D135,Program!$A$1:$B$34,2,FALSE)</f>
        <v>VAL-projektet</v>
      </c>
      <c r="V135" s="41">
        <f>VLOOKUP(A135,kurspris!$A$1:$Q$225,15,FALSE)</f>
        <v>19863</v>
      </c>
      <c r="W135" s="41">
        <f>VLOOKUP(A135,kurspris!$A$1:$Q$225,16,FALSE)</f>
        <v>35472</v>
      </c>
      <c r="X135" s="41">
        <f t="shared" si="113"/>
        <v>27667.5</v>
      </c>
      <c r="Y135" s="41">
        <f>VLOOKUP(A135,kurspris!$A$1:$Q$225,17,FALSE)</f>
        <v>22200</v>
      </c>
      <c r="Z135" s="41">
        <f t="shared" si="114"/>
        <v>11100</v>
      </c>
      <c r="AA135" s="41">
        <f t="shared" si="115"/>
        <v>38767.5</v>
      </c>
      <c r="AB135" s="32">
        <f>VLOOKUP($A135,kurspris!$A$1:$Q$262,3,FALSE)</f>
        <v>0</v>
      </c>
      <c r="AC135" s="32">
        <f>VLOOKUP($A135,kurspris!$A$1:$Q$262,4,FALSE)</f>
        <v>0</v>
      </c>
      <c r="AD135" s="32">
        <f>VLOOKUP($A135,kurspris!$A$1:$Q$262,5,FALSE)</f>
        <v>0</v>
      </c>
      <c r="AE135" s="32">
        <f>VLOOKUP($A135,kurspris!$A$1:$Q$262,6,FALSE)</f>
        <v>0</v>
      </c>
      <c r="AF135" s="32">
        <f>VLOOKUP($A135,kurspris!$A$1:$Q$262,7,FALSE)</f>
        <v>0</v>
      </c>
      <c r="AG135" s="32">
        <f>VLOOKUP($A135,kurspris!$A$1:$Q$262,8,FALSE)</f>
        <v>0</v>
      </c>
      <c r="AH135" s="32">
        <f>VLOOKUP($A135,kurspris!$A$1:$Q$262,9,FALSE)</f>
        <v>0</v>
      </c>
      <c r="AI135" s="32">
        <f>VLOOKUP($A135,kurspris!$A$1:$Q$262,10,FALSE)</f>
        <v>1</v>
      </c>
      <c r="AJ135" s="32">
        <f>VLOOKUP($A135,kurspris!$A$1:$Q$262,11,FALSE)</f>
        <v>0</v>
      </c>
      <c r="AK135" s="32">
        <f>VLOOKUP($A135,kurspris!$A$1:$Q$262,12,FALSE)</f>
        <v>0</v>
      </c>
      <c r="AL135" s="32">
        <f>VLOOKUP($A135,kurspris!$A$1:$Q$262,13,FALSE)</f>
        <v>0</v>
      </c>
      <c r="AM135" s="32">
        <f>VLOOKUP($A135,kurspris!$A$1:$Q$262,14,FALSE)</f>
        <v>0</v>
      </c>
      <c r="AN135" s="38" t="s">
        <v>946</v>
      </c>
      <c r="AP135" s="32">
        <f t="shared" si="116"/>
        <v>0</v>
      </c>
      <c r="AQ135" s="234">
        <f t="shared" si="117"/>
        <v>0</v>
      </c>
      <c r="AR135" s="32">
        <f t="shared" si="118"/>
        <v>0</v>
      </c>
      <c r="AS135" s="234">
        <f t="shared" si="119"/>
        <v>0</v>
      </c>
      <c r="AT135" s="32">
        <f t="shared" si="120"/>
        <v>0</v>
      </c>
      <c r="AU135" s="32">
        <f t="shared" si="121"/>
        <v>0</v>
      </c>
      <c r="AV135" s="32">
        <f t="shared" si="122"/>
        <v>0</v>
      </c>
      <c r="AW135" s="234">
        <f t="shared" si="123"/>
        <v>0</v>
      </c>
      <c r="AX135" s="226">
        <f t="shared" si="124"/>
        <v>0</v>
      </c>
      <c r="AY135" s="234">
        <f t="shared" si="125"/>
        <v>0</v>
      </c>
      <c r="AZ135" s="32">
        <f t="shared" si="126"/>
        <v>0</v>
      </c>
      <c r="BA135" s="234">
        <f t="shared" si="127"/>
        <v>0</v>
      </c>
      <c r="BB135" s="32">
        <f t="shared" si="128"/>
        <v>0</v>
      </c>
      <c r="BC135" s="234">
        <f t="shared" si="129"/>
        <v>0</v>
      </c>
      <c r="BD135" s="32">
        <f t="shared" si="130"/>
        <v>0.5</v>
      </c>
      <c r="BE135" s="234">
        <f t="shared" si="131"/>
        <v>0.5</v>
      </c>
      <c r="BF135" s="32">
        <f t="shared" si="132"/>
        <v>0</v>
      </c>
      <c r="BG135" s="234">
        <f t="shared" si="133"/>
        <v>0</v>
      </c>
      <c r="BH135" s="32">
        <f t="shared" si="134"/>
        <v>0</v>
      </c>
      <c r="BI135" s="32">
        <f t="shared" si="135"/>
        <v>0</v>
      </c>
      <c r="BJ135" s="234">
        <f t="shared" si="136"/>
        <v>0</v>
      </c>
      <c r="BK135" s="32">
        <f t="shared" si="137"/>
        <v>0</v>
      </c>
      <c r="BL135" s="234">
        <f t="shared" si="138"/>
        <v>0</v>
      </c>
    </row>
    <row r="136" spans="1:66" x14ac:dyDescent="0.25">
      <c r="A136" s="221" t="s">
        <v>397</v>
      </c>
      <c r="B136" s="26" t="str">
        <f>VLOOKUP(A136,kurspris!$A$1:$B$304,2,FALSE)</f>
        <v>Slöjd, textil 2a, distans</v>
      </c>
      <c r="C136" s="56"/>
      <c r="D136" s="32" t="s">
        <v>74</v>
      </c>
      <c r="E136" s="59" t="s">
        <v>925</v>
      </c>
      <c r="F136" s="59" t="s">
        <v>933</v>
      </c>
      <c r="G136" s="59" t="s">
        <v>934</v>
      </c>
      <c r="H136" s="59"/>
      <c r="K136" s="37"/>
      <c r="L136" s="32">
        <v>50</v>
      </c>
      <c r="M136" s="32">
        <v>15</v>
      </c>
      <c r="N136" s="32">
        <v>3</v>
      </c>
      <c r="O136" s="234">
        <f t="shared" si="111"/>
        <v>0.75</v>
      </c>
      <c r="P136" s="39">
        <v>1</v>
      </c>
      <c r="Q136" s="234">
        <f t="shared" si="112"/>
        <v>0.75</v>
      </c>
      <c r="R136" s="32">
        <f>VLOOKUP(A136,'Ansvar kurs'!$A$1:$C$399,2,FALSE)</f>
        <v>1650</v>
      </c>
      <c r="S136" s="32" t="str">
        <f>VLOOKUP(R136,Orgenheter!$A$1:$C$166,2,FALSE)</f>
        <v xml:space="preserve">Estetiska ämnen               </v>
      </c>
      <c r="T136" s="32" t="str">
        <f>VLOOKUP(R136,Orgenheter!$A$1:$C$166,3,FALSE)</f>
        <v>Hum</v>
      </c>
      <c r="U136" s="37" t="str">
        <f>VLOOKUP(D136,Program!$A$1:$B$34,2,FALSE)</f>
        <v>VAL-projektet</v>
      </c>
      <c r="V136" s="41">
        <f>VLOOKUP(A136,kurspris!$A$1:$Q$225,15,FALSE)</f>
        <v>19863</v>
      </c>
      <c r="W136" s="41">
        <f>VLOOKUP(A136,kurspris!$A$1:$Q$225,16,FALSE)</f>
        <v>35472</v>
      </c>
      <c r="X136" s="41">
        <f t="shared" si="113"/>
        <v>41501.25</v>
      </c>
      <c r="Y136" s="41">
        <f>VLOOKUP(A136,kurspris!$A$1:$Q$225,17,FALSE)</f>
        <v>22200</v>
      </c>
      <c r="Z136" s="41">
        <f t="shared" si="114"/>
        <v>16650</v>
      </c>
      <c r="AA136" s="41">
        <f t="shared" si="115"/>
        <v>58151.25</v>
      </c>
      <c r="AB136" s="32">
        <f>VLOOKUP($A136,kurspris!$A$1:$Q$262,3,FALSE)</f>
        <v>0</v>
      </c>
      <c r="AC136" s="32">
        <f>VLOOKUP($A136,kurspris!$A$1:$Q$262,4,FALSE)</f>
        <v>0</v>
      </c>
      <c r="AD136" s="32">
        <f>VLOOKUP($A136,kurspris!$A$1:$Q$262,5,FALSE)</f>
        <v>0</v>
      </c>
      <c r="AE136" s="32">
        <f>VLOOKUP($A136,kurspris!$A$1:$Q$262,6,FALSE)</f>
        <v>0</v>
      </c>
      <c r="AF136" s="32">
        <f>VLOOKUP($A136,kurspris!$A$1:$Q$262,7,FALSE)</f>
        <v>0</v>
      </c>
      <c r="AG136" s="32">
        <f>VLOOKUP($A136,kurspris!$A$1:$Q$262,8,FALSE)</f>
        <v>0</v>
      </c>
      <c r="AH136" s="32">
        <f>VLOOKUP($A136,kurspris!$A$1:$Q$262,9,FALSE)</f>
        <v>0</v>
      </c>
      <c r="AI136" s="32">
        <f>VLOOKUP($A136,kurspris!$A$1:$Q$262,10,FALSE)</f>
        <v>1</v>
      </c>
      <c r="AJ136" s="32">
        <f>VLOOKUP($A136,kurspris!$A$1:$Q$262,11,FALSE)</f>
        <v>0</v>
      </c>
      <c r="AK136" s="32">
        <f>VLOOKUP($A136,kurspris!$A$1:$Q$262,12,FALSE)</f>
        <v>0</v>
      </c>
      <c r="AL136" s="32">
        <f>VLOOKUP($A136,kurspris!$A$1:$Q$262,13,FALSE)</f>
        <v>0</v>
      </c>
      <c r="AM136" s="32">
        <f>VLOOKUP($A136,kurspris!$A$1:$Q$262,14,FALSE)</f>
        <v>0</v>
      </c>
      <c r="AN136" s="38" t="s">
        <v>946</v>
      </c>
      <c r="AP136" s="32">
        <f t="shared" si="116"/>
        <v>0</v>
      </c>
      <c r="AQ136" s="234">
        <f t="shared" si="117"/>
        <v>0</v>
      </c>
      <c r="AR136" s="32">
        <f t="shared" si="118"/>
        <v>0</v>
      </c>
      <c r="AS136" s="234">
        <f t="shared" si="119"/>
        <v>0</v>
      </c>
      <c r="AT136" s="32">
        <f t="shared" si="120"/>
        <v>0</v>
      </c>
      <c r="AU136" s="32">
        <f t="shared" si="121"/>
        <v>0</v>
      </c>
      <c r="AV136" s="32">
        <f t="shared" si="122"/>
        <v>0</v>
      </c>
      <c r="AW136" s="234">
        <f t="shared" si="123"/>
        <v>0</v>
      </c>
      <c r="AX136" s="226">
        <f t="shared" si="124"/>
        <v>0</v>
      </c>
      <c r="AY136" s="234">
        <f t="shared" si="125"/>
        <v>0</v>
      </c>
      <c r="AZ136" s="32">
        <f t="shared" si="126"/>
        <v>0</v>
      </c>
      <c r="BA136" s="234">
        <f t="shared" si="127"/>
        <v>0</v>
      </c>
      <c r="BB136" s="32">
        <f t="shared" si="128"/>
        <v>0</v>
      </c>
      <c r="BC136" s="234">
        <f t="shared" si="129"/>
        <v>0</v>
      </c>
      <c r="BD136" s="32">
        <f t="shared" si="130"/>
        <v>0.75</v>
      </c>
      <c r="BE136" s="234">
        <f t="shared" si="131"/>
        <v>0.75</v>
      </c>
      <c r="BF136" s="32">
        <f t="shared" si="132"/>
        <v>0</v>
      </c>
      <c r="BG136" s="234">
        <f t="shared" si="133"/>
        <v>0</v>
      </c>
      <c r="BH136" s="32">
        <f t="shared" si="134"/>
        <v>0</v>
      </c>
      <c r="BI136" s="32">
        <f t="shared" si="135"/>
        <v>0</v>
      </c>
      <c r="BJ136" s="234">
        <f t="shared" si="136"/>
        <v>0</v>
      </c>
      <c r="BK136" s="32">
        <f t="shared" si="137"/>
        <v>0</v>
      </c>
      <c r="BL136" s="234">
        <f t="shared" si="138"/>
        <v>0</v>
      </c>
    </row>
    <row r="137" spans="1:66" x14ac:dyDescent="0.25">
      <c r="A137" s="221" t="s">
        <v>683</v>
      </c>
      <c r="B137" s="26" t="str">
        <f>VLOOKUP(A137,kurspris!$A$1:$B$304,2,FALSE)</f>
        <v>Slöjd 1, textil</v>
      </c>
      <c r="C137" s="56"/>
      <c r="D137" s="32" t="s">
        <v>74</v>
      </c>
      <c r="E137" s="59" t="s">
        <v>925</v>
      </c>
      <c r="F137" s="59" t="s">
        <v>933</v>
      </c>
      <c r="G137" s="32" t="s">
        <v>935</v>
      </c>
      <c r="H137" s="59"/>
      <c r="K137" s="37"/>
      <c r="L137" s="32">
        <v>50</v>
      </c>
      <c r="M137" s="418">
        <v>15</v>
      </c>
      <c r="N137" s="32">
        <v>3</v>
      </c>
      <c r="O137" s="234">
        <f t="shared" si="111"/>
        <v>0.75</v>
      </c>
      <c r="P137" s="39">
        <v>1</v>
      </c>
      <c r="Q137" s="234">
        <f t="shared" si="112"/>
        <v>0.75</v>
      </c>
      <c r="R137" s="32">
        <f>VLOOKUP(A137,'Ansvar kurs'!$A$1:$C$399,2,FALSE)</f>
        <v>1650</v>
      </c>
      <c r="S137" s="32" t="str">
        <f>VLOOKUP(R137,Orgenheter!$A$1:$C$166,2,FALSE)</f>
        <v xml:space="preserve">Estetiska ämnen               </v>
      </c>
      <c r="T137" s="32" t="str">
        <f>VLOOKUP(R137,Orgenheter!$A$1:$C$166,3,FALSE)</f>
        <v>Hum</v>
      </c>
      <c r="U137" s="37" t="str">
        <f>VLOOKUP(D137,Program!$A$1:$B$34,2,FALSE)</f>
        <v>VAL-projektet</v>
      </c>
      <c r="V137" s="41">
        <f>VLOOKUP(A137,kurspris!$A$1:$Q$225,15,FALSE)</f>
        <v>19863</v>
      </c>
      <c r="W137" s="41">
        <f>VLOOKUP(A137,kurspris!$A$1:$Q$225,16,FALSE)</f>
        <v>35472</v>
      </c>
      <c r="X137" s="41">
        <f t="shared" si="113"/>
        <v>41501.25</v>
      </c>
      <c r="Y137" s="41">
        <f>VLOOKUP(A137,kurspris!$A$1:$Q$225,17,FALSE)</f>
        <v>22200</v>
      </c>
      <c r="Z137" s="41">
        <f t="shared" si="114"/>
        <v>16650</v>
      </c>
      <c r="AA137" s="41">
        <f t="shared" si="115"/>
        <v>58151.25</v>
      </c>
      <c r="AB137" s="32">
        <f>VLOOKUP($A137,kurspris!$A$1:$Q$262,3,FALSE)</f>
        <v>0</v>
      </c>
      <c r="AC137" s="32">
        <f>VLOOKUP($A137,kurspris!$A$1:$Q$262,4,FALSE)</f>
        <v>0</v>
      </c>
      <c r="AD137" s="32">
        <f>VLOOKUP($A137,kurspris!$A$1:$Q$262,5,FALSE)</f>
        <v>0</v>
      </c>
      <c r="AE137" s="32">
        <f>VLOOKUP($A137,kurspris!$A$1:$Q$262,6,FALSE)</f>
        <v>0</v>
      </c>
      <c r="AF137" s="32">
        <f>VLOOKUP($A137,kurspris!$A$1:$Q$262,7,FALSE)</f>
        <v>0</v>
      </c>
      <c r="AG137" s="32">
        <f>VLOOKUP($A137,kurspris!$A$1:$Q$262,8,FALSE)</f>
        <v>0</v>
      </c>
      <c r="AH137" s="32">
        <f>VLOOKUP($A137,kurspris!$A$1:$Q$262,9,FALSE)</f>
        <v>0</v>
      </c>
      <c r="AI137" s="32">
        <f>VLOOKUP($A137,kurspris!$A$1:$Q$262,10,FALSE)</f>
        <v>1</v>
      </c>
      <c r="AJ137" s="32">
        <f>VLOOKUP($A137,kurspris!$A$1:$Q$262,11,FALSE)</f>
        <v>0</v>
      </c>
      <c r="AK137" s="32">
        <f>VLOOKUP($A137,kurspris!$A$1:$Q$262,12,FALSE)</f>
        <v>0</v>
      </c>
      <c r="AL137" s="32">
        <f>VLOOKUP($A137,kurspris!$A$1:$Q$262,13,FALSE)</f>
        <v>0</v>
      </c>
      <c r="AM137" s="32">
        <f>VLOOKUP($A137,kurspris!$A$1:$Q$262,14,FALSE)</f>
        <v>0</v>
      </c>
      <c r="AN137" s="38" t="s">
        <v>946</v>
      </c>
      <c r="AO137" t="s">
        <v>947</v>
      </c>
      <c r="AP137" s="32">
        <f t="shared" si="116"/>
        <v>0</v>
      </c>
      <c r="AQ137" s="234">
        <f t="shared" si="117"/>
        <v>0</v>
      </c>
      <c r="AR137" s="32">
        <f t="shared" si="118"/>
        <v>0</v>
      </c>
      <c r="AS137" s="234">
        <f t="shared" si="119"/>
        <v>0</v>
      </c>
      <c r="AT137" s="32">
        <f t="shared" si="120"/>
        <v>0</v>
      </c>
      <c r="AU137" s="32">
        <f t="shared" si="121"/>
        <v>0</v>
      </c>
      <c r="AV137" s="32">
        <f t="shared" si="122"/>
        <v>0</v>
      </c>
      <c r="AW137" s="234">
        <f t="shared" si="123"/>
        <v>0</v>
      </c>
      <c r="AX137" s="226">
        <f t="shared" si="124"/>
        <v>0</v>
      </c>
      <c r="AY137" s="234">
        <f t="shared" si="125"/>
        <v>0</v>
      </c>
      <c r="AZ137" s="32">
        <f t="shared" si="126"/>
        <v>0</v>
      </c>
      <c r="BA137" s="234">
        <f t="shared" si="127"/>
        <v>0</v>
      </c>
      <c r="BB137" s="32">
        <f t="shared" si="128"/>
        <v>0</v>
      </c>
      <c r="BC137" s="234">
        <f t="shared" si="129"/>
        <v>0</v>
      </c>
      <c r="BD137" s="32">
        <f t="shared" si="130"/>
        <v>0.75</v>
      </c>
      <c r="BE137" s="234">
        <f t="shared" si="131"/>
        <v>0.75</v>
      </c>
      <c r="BF137" s="32">
        <f t="shared" si="132"/>
        <v>0</v>
      </c>
      <c r="BG137" s="234">
        <f t="shared" si="133"/>
        <v>0</v>
      </c>
      <c r="BH137" s="32">
        <f t="shared" si="134"/>
        <v>0</v>
      </c>
      <c r="BI137" s="32">
        <f t="shared" si="135"/>
        <v>0</v>
      </c>
      <c r="BJ137" s="234">
        <f t="shared" si="136"/>
        <v>0</v>
      </c>
      <c r="BK137" s="32">
        <f t="shared" si="137"/>
        <v>0</v>
      </c>
      <c r="BL137" s="234">
        <f t="shared" si="138"/>
        <v>0</v>
      </c>
    </row>
    <row r="138" spans="1:66" x14ac:dyDescent="0.25">
      <c r="A138" s="221" t="s">
        <v>924</v>
      </c>
      <c r="B138" s="26" t="str">
        <f>VLOOKUP(A138,kurspris!$A$1:$B$304,2,FALSE)</f>
        <v>Kläddesign</v>
      </c>
      <c r="C138" s="56"/>
      <c r="D138" s="32" t="s">
        <v>74</v>
      </c>
      <c r="E138" s="59" t="s">
        <v>925</v>
      </c>
      <c r="F138" s="59" t="s">
        <v>933</v>
      </c>
      <c r="G138" s="59" t="s">
        <v>934</v>
      </c>
      <c r="H138" s="59"/>
      <c r="K138" s="37"/>
      <c r="L138" s="32">
        <v>50</v>
      </c>
      <c r="M138" s="32">
        <v>15</v>
      </c>
      <c r="N138" s="32">
        <v>1</v>
      </c>
      <c r="O138" s="234">
        <f t="shared" si="111"/>
        <v>0.25</v>
      </c>
      <c r="P138" s="39">
        <v>1</v>
      </c>
      <c r="Q138" s="234">
        <f t="shared" si="112"/>
        <v>0.25</v>
      </c>
      <c r="R138" s="32">
        <f>VLOOKUP(A138,'Ansvar kurs'!$A$1:$C$399,2,FALSE)</f>
        <v>1650</v>
      </c>
      <c r="S138" s="32" t="str">
        <f>VLOOKUP(R138,Orgenheter!$A$1:$C$166,2,FALSE)</f>
        <v xml:space="preserve">Estetiska ämnen               </v>
      </c>
      <c r="T138" s="32" t="str">
        <f>VLOOKUP(R138,Orgenheter!$A$1:$C$166,3,FALSE)</f>
        <v>Hum</v>
      </c>
      <c r="U138" s="37" t="str">
        <f>VLOOKUP(D138,Program!$A$1:$B$34,2,FALSE)</f>
        <v>VAL-projektet</v>
      </c>
      <c r="V138" s="41">
        <f>VLOOKUP(A138,kurspris!$A$1:$Q$225,15,FALSE)</f>
        <v>19863</v>
      </c>
      <c r="W138" s="41">
        <f>VLOOKUP(A138,kurspris!$A$1:$Q$225,16,FALSE)</f>
        <v>35472</v>
      </c>
      <c r="X138" s="41">
        <f t="shared" si="113"/>
        <v>13833.75</v>
      </c>
      <c r="Y138" s="41">
        <f>VLOOKUP(A138,kurspris!$A$1:$Q$225,17,FALSE)</f>
        <v>22200</v>
      </c>
      <c r="Z138" s="41">
        <f t="shared" si="114"/>
        <v>5550</v>
      </c>
      <c r="AA138" s="41">
        <f t="shared" si="115"/>
        <v>19383.75</v>
      </c>
      <c r="AB138" s="32">
        <f>VLOOKUP($A138,kurspris!$A$1:$Q$262,3,FALSE)</f>
        <v>0</v>
      </c>
      <c r="AC138" s="32">
        <f>VLOOKUP($A138,kurspris!$A$1:$Q$262,4,FALSE)</f>
        <v>0</v>
      </c>
      <c r="AD138" s="32">
        <f>VLOOKUP($A138,kurspris!$A$1:$Q$262,5,FALSE)</f>
        <v>0</v>
      </c>
      <c r="AE138" s="32">
        <f>VLOOKUP($A138,kurspris!$A$1:$Q$262,6,FALSE)</f>
        <v>0</v>
      </c>
      <c r="AF138" s="32">
        <f>VLOOKUP($A138,kurspris!$A$1:$Q$262,7,FALSE)</f>
        <v>0</v>
      </c>
      <c r="AG138" s="32">
        <f>VLOOKUP($A138,kurspris!$A$1:$Q$262,8,FALSE)</f>
        <v>0</v>
      </c>
      <c r="AH138" s="32">
        <f>VLOOKUP($A138,kurspris!$A$1:$Q$262,9,FALSE)</f>
        <v>0</v>
      </c>
      <c r="AI138" s="32">
        <f>VLOOKUP($A138,kurspris!$A$1:$Q$262,10,FALSE)</f>
        <v>1</v>
      </c>
      <c r="AJ138" s="32">
        <f>VLOOKUP($A138,kurspris!$A$1:$Q$262,11,FALSE)</f>
        <v>0</v>
      </c>
      <c r="AK138" s="32">
        <f>VLOOKUP($A138,kurspris!$A$1:$Q$262,12,FALSE)</f>
        <v>0</v>
      </c>
      <c r="AL138" s="32">
        <f>VLOOKUP($A138,kurspris!$A$1:$Q$262,13,FALSE)</f>
        <v>0</v>
      </c>
      <c r="AM138" s="32">
        <f>VLOOKUP($A138,kurspris!$A$1:$Q$262,14,FALSE)</f>
        <v>0</v>
      </c>
      <c r="AN138" s="38" t="s">
        <v>946</v>
      </c>
      <c r="AO138"/>
      <c r="AP138" s="32">
        <f t="shared" si="116"/>
        <v>0</v>
      </c>
      <c r="AQ138" s="234">
        <f t="shared" si="117"/>
        <v>0</v>
      </c>
      <c r="AR138" s="32">
        <f t="shared" si="118"/>
        <v>0</v>
      </c>
      <c r="AS138" s="234">
        <f t="shared" si="119"/>
        <v>0</v>
      </c>
      <c r="AT138" s="32">
        <f t="shared" si="120"/>
        <v>0</v>
      </c>
      <c r="AU138" s="32">
        <f t="shared" si="121"/>
        <v>0</v>
      </c>
      <c r="AV138" s="32">
        <f t="shared" si="122"/>
        <v>0</v>
      </c>
      <c r="AW138" s="234">
        <f t="shared" si="123"/>
        <v>0</v>
      </c>
      <c r="AX138" s="226">
        <f t="shared" si="124"/>
        <v>0</v>
      </c>
      <c r="AY138" s="234">
        <f t="shared" si="125"/>
        <v>0</v>
      </c>
      <c r="AZ138" s="32">
        <f t="shared" si="126"/>
        <v>0</v>
      </c>
      <c r="BA138" s="234">
        <f t="shared" si="127"/>
        <v>0</v>
      </c>
      <c r="BB138" s="32">
        <f t="shared" si="128"/>
        <v>0</v>
      </c>
      <c r="BC138" s="234">
        <f t="shared" si="129"/>
        <v>0</v>
      </c>
      <c r="BD138" s="32">
        <f t="shared" si="130"/>
        <v>0.25</v>
      </c>
      <c r="BE138" s="234">
        <f t="shared" si="131"/>
        <v>0.25</v>
      </c>
      <c r="BF138" s="32">
        <f t="shared" si="132"/>
        <v>0</v>
      </c>
      <c r="BG138" s="234">
        <f t="shared" si="133"/>
        <v>0</v>
      </c>
      <c r="BH138" s="32">
        <f t="shared" si="134"/>
        <v>0</v>
      </c>
      <c r="BI138" s="32">
        <f t="shared" si="135"/>
        <v>0</v>
      </c>
      <c r="BJ138" s="234">
        <f t="shared" si="136"/>
        <v>0</v>
      </c>
      <c r="BK138" s="32">
        <f t="shared" si="137"/>
        <v>0</v>
      </c>
      <c r="BL138" s="234">
        <f t="shared" si="138"/>
        <v>0</v>
      </c>
    </row>
    <row r="139" spans="1:66" x14ac:dyDescent="0.25">
      <c r="B139" s="26"/>
      <c r="K139" s="37"/>
      <c r="O139" s="226"/>
      <c r="P139" s="39"/>
      <c r="Q139" s="330"/>
      <c r="U139" s="37"/>
      <c r="AN139" s="240"/>
      <c r="AO139"/>
      <c r="AQ139" s="234"/>
      <c r="AS139" s="234"/>
      <c r="AW139" s="234"/>
      <c r="AX139" s="226"/>
      <c r="AY139" s="234"/>
      <c r="BA139" s="234"/>
      <c r="BC139" s="234"/>
      <c r="BE139" s="234"/>
      <c r="BG139" s="234"/>
      <c r="BJ139" s="234"/>
      <c r="BL139" s="234"/>
    </row>
    <row r="140" spans="1:66" x14ac:dyDescent="0.25">
      <c r="B140" s="26"/>
      <c r="C140" s="37"/>
      <c r="D140" s="56"/>
      <c r="F140" s="56"/>
      <c r="L140" s="39"/>
      <c r="M140" s="381"/>
      <c r="N140" s="40"/>
      <c r="O140" s="226"/>
      <c r="P140" s="39"/>
      <c r="Q140" s="330"/>
      <c r="U140" s="37"/>
      <c r="AN140" s="38"/>
      <c r="AO140"/>
      <c r="AW140" s="234"/>
      <c r="AX140" s="226"/>
      <c r="AY140" s="234"/>
      <c r="BA140" s="234"/>
      <c r="BC140" s="234"/>
      <c r="BE140" s="234"/>
      <c r="BG140" s="234"/>
      <c r="BJ140" s="234"/>
      <c r="BL140" s="234"/>
    </row>
    <row r="141" spans="1:66" x14ac:dyDescent="0.25">
      <c r="B141" s="26"/>
      <c r="C141" s="37"/>
      <c r="D141" s="56"/>
      <c r="F141" s="56"/>
      <c r="L141" s="39"/>
      <c r="M141" s="381"/>
      <c r="N141" s="40"/>
      <c r="O141" s="226"/>
      <c r="P141" s="39"/>
      <c r="Q141" s="330"/>
      <c r="U141" s="37"/>
      <c r="X141" s="232"/>
      <c r="Y141" s="232"/>
      <c r="Z141" s="232"/>
      <c r="AA141" s="232"/>
      <c r="AB141" s="230"/>
      <c r="AC141" s="230"/>
      <c r="AD141" s="230"/>
      <c r="AE141" s="230"/>
      <c r="AF141" s="230"/>
      <c r="AG141" s="230"/>
      <c r="AH141" s="230"/>
      <c r="AI141" s="230"/>
      <c r="AJ141" s="230"/>
      <c r="AK141" s="230"/>
      <c r="AL141" s="230"/>
      <c r="AM141" s="230"/>
      <c r="AN141" s="231"/>
      <c r="AO141" s="231" t="s">
        <v>109</v>
      </c>
      <c r="AP141" s="233">
        <f t="shared" ref="AP141:BL141" si="139">SUM(AP1:AP140)</f>
        <v>3.5625000120000001</v>
      </c>
      <c r="AQ141" s="233">
        <f t="shared" si="139"/>
        <v>3.5625000120000001</v>
      </c>
      <c r="AR141" s="233">
        <f t="shared" si="139"/>
        <v>11.562500034900001</v>
      </c>
      <c r="AS141" s="233">
        <f t="shared" si="139"/>
        <v>11.562500034900001</v>
      </c>
      <c r="AT141" s="233">
        <f t="shared" si="139"/>
        <v>0.500000004</v>
      </c>
      <c r="AU141" s="233">
        <f t="shared" si="139"/>
        <v>0.500000004</v>
      </c>
      <c r="AV141" s="233">
        <f t="shared" si="139"/>
        <v>55.875000139000008</v>
      </c>
      <c r="AW141" s="233">
        <f t="shared" si="139"/>
        <v>55.875000139000008</v>
      </c>
      <c r="AX141" s="233">
        <f t="shared" si="139"/>
        <v>6.125000022</v>
      </c>
      <c r="AY141" s="233">
        <f t="shared" si="139"/>
        <v>6.125000022</v>
      </c>
      <c r="AZ141" s="233">
        <f t="shared" si="139"/>
        <v>9.0625000100000008</v>
      </c>
      <c r="BA141" s="233">
        <f t="shared" si="139"/>
        <v>9.0625000100000008</v>
      </c>
      <c r="BB141" s="233">
        <f t="shared" si="139"/>
        <v>3.5000000498000001</v>
      </c>
      <c r="BC141" s="233">
        <f t="shared" si="139"/>
        <v>3.5000000498000001</v>
      </c>
      <c r="BD141" s="233">
        <f t="shared" si="139"/>
        <v>10.0625000482</v>
      </c>
      <c r="BE141" s="233">
        <f t="shared" si="139"/>
        <v>10.0625000482</v>
      </c>
      <c r="BF141" s="233">
        <f t="shared" si="139"/>
        <v>8.0000000080000007</v>
      </c>
      <c r="BG141" s="233">
        <f t="shared" si="139"/>
        <v>8.0000000080000007</v>
      </c>
      <c r="BH141" s="233">
        <f t="shared" si="139"/>
        <v>0</v>
      </c>
      <c r="BI141" s="233">
        <f t="shared" si="139"/>
        <v>0</v>
      </c>
      <c r="BJ141" s="233">
        <f t="shared" si="139"/>
        <v>0</v>
      </c>
      <c r="BK141" s="233">
        <f t="shared" si="139"/>
        <v>0</v>
      </c>
      <c r="BL141" s="233">
        <f t="shared" si="139"/>
        <v>0</v>
      </c>
      <c r="BN141" s="235"/>
    </row>
    <row r="142" spans="1:66" x14ac:dyDescent="0.25">
      <c r="B142" s="26"/>
      <c r="C142" s="37"/>
      <c r="D142" s="56"/>
      <c r="F142" s="56"/>
      <c r="L142" s="39"/>
      <c r="M142" s="381"/>
      <c r="N142" s="40"/>
      <c r="O142" s="226"/>
      <c r="P142" s="39"/>
      <c r="Q142" s="330"/>
      <c r="U142" s="37"/>
      <c r="X142" s="232"/>
      <c r="Y142" s="232"/>
      <c r="Z142" s="232"/>
      <c r="AA142" s="232"/>
      <c r="AB142" s="230"/>
      <c r="AC142" s="230"/>
      <c r="AD142" s="230"/>
      <c r="AE142" s="230"/>
      <c r="AF142" s="230"/>
      <c r="AG142" s="230"/>
      <c r="AH142" s="230"/>
      <c r="AI142" s="230"/>
      <c r="AJ142" s="230"/>
      <c r="AK142" s="230"/>
      <c r="AL142" s="230"/>
      <c r="AM142" s="230"/>
      <c r="AN142" s="231"/>
      <c r="AO142" s="231"/>
      <c r="AP142" s="292"/>
      <c r="AQ142" s="292"/>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N142" s="235"/>
    </row>
    <row r="143" spans="1:66" x14ac:dyDescent="0.25">
      <c r="B143" s="26"/>
      <c r="C143" s="37"/>
      <c r="D143" s="56"/>
      <c r="F143" s="56"/>
      <c r="L143" s="39"/>
      <c r="M143" s="381"/>
      <c r="N143" s="40"/>
      <c r="O143" s="226"/>
      <c r="P143" s="39"/>
      <c r="Q143" s="330"/>
      <c r="U143" s="37"/>
      <c r="X143" s="232"/>
      <c r="Y143" s="232"/>
      <c r="Z143" s="232"/>
      <c r="AA143" s="232"/>
      <c r="AB143" s="230"/>
      <c r="AC143" s="230"/>
      <c r="AD143" s="230"/>
      <c r="AE143" s="230"/>
      <c r="AF143" s="230"/>
      <c r="AG143" s="230"/>
      <c r="AH143" s="230"/>
      <c r="AI143" s="230"/>
      <c r="AJ143" s="230"/>
      <c r="AK143" s="230"/>
      <c r="AL143" s="230"/>
      <c r="AM143" s="230"/>
      <c r="AN143" s="231"/>
      <c r="AO143" s="231"/>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N143" s="235"/>
    </row>
    <row r="144" spans="1:66" x14ac:dyDescent="0.25">
      <c r="B144" s="26"/>
      <c r="C144" s="37"/>
      <c r="D144" s="56"/>
      <c r="F144" s="56"/>
      <c r="L144" s="39"/>
      <c r="M144" s="381"/>
      <c r="N144" s="40"/>
      <c r="O144" s="330">
        <f>SUM(O1:O140)</f>
        <v>108.25000032790001</v>
      </c>
      <c r="P144" s="39"/>
      <c r="Q144" s="330">
        <f>SUM(Q1:Q140)</f>
        <v>108.25000032790001</v>
      </c>
      <c r="U144" s="37"/>
      <c r="AN144" s="38"/>
      <c r="AX144" s="226"/>
      <c r="AY144" s="226"/>
    </row>
    <row r="145" spans="16:51" x14ac:dyDescent="0.25">
      <c r="P145" s="39"/>
      <c r="Q145" s="234"/>
      <c r="V145" s="32"/>
      <c r="W145" s="32"/>
      <c r="X145" s="32"/>
      <c r="Y145" s="32"/>
      <c r="Z145" s="32"/>
      <c r="AA145" s="32"/>
    </row>
    <row r="146" spans="16:51" x14ac:dyDescent="0.25">
      <c r="Q146" s="234"/>
      <c r="V146" s="32"/>
      <c r="W146" s="32"/>
      <c r="X146" s="32"/>
      <c r="Y146" s="32"/>
      <c r="Z146" s="32"/>
      <c r="AA146" s="32"/>
      <c r="AP146" s="41"/>
      <c r="AQ146" s="41"/>
      <c r="AX146" s="41"/>
      <c r="AY146" s="41"/>
    </row>
    <row r="147" spans="16:51" x14ac:dyDescent="0.25">
      <c r="Q147" s="234"/>
      <c r="V147" s="32"/>
      <c r="W147" s="32"/>
      <c r="X147" s="32"/>
      <c r="Y147" s="32"/>
      <c r="Z147" s="32"/>
      <c r="AA147" s="32"/>
      <c r="AP147" s="41"/>
      <c r="AQ147" s="41"/>
      <c r="AX147" s="41"/>
      <c r="AY147" s="41"/>
    </row>
    <row r="148" spans="16:51" x14ac:dyDescent="0.25">
      <c r="Q148" s="234"/>
      <c r="V148" s="32"/>
      <c r="W148" s="32"/>
      <c r="X148" s="32"/>
      <c r="Y148" s="32"/>
      <c r="Z148" s="32"/>
      <c r="AA148" s="32"/>
      <c r="AO148" s="56"/>
      <c r="AP148" s="41"/>
      <c r="AQ148" s="41"/>
      <c r="AX148" s="41"/>
      <c r="AY148" s="41"/>
    </row>
    <row r="149" spans="16:51" x14ac:dyDescent="0.25">
      <c r="Q149" s="234"/>
      <c r="V149" s="32"/>
      <c r="W149" s="32"/>
      <c r="X149" s="32"/>
      <c r="Y149" s="32"/>
      <c r="Z149" s="32"/>
      <c r="AA149" s="32"/>
    </row>
    <row r="150" spans="16:51" x14ac:dyDescent="0.25">
      <c r="Q150" s="234"/>
      <c r="V150" s="32"/>
      <c r="W150" s="32"/>
      <c r="X150" s="32"/>
      <c r="Y150" s="32"/>
      <c r="Z150" s="32"/>
      <c r="AA150" s="32"/>
    </row>
    <row r="151" spans="16:51" x14ac:dyDescent="0.25">
      <c r="Q151" s="234"/>
      <c r="V151" s="32"/>
      <c r="W151" s="32"/>
      <c r="X151" s="32"/>
      <c r="Y151" s="32"/>
      <c r="Z151" s="32"/>
      <c r="AA151" s="32"/>
    </row>
    <row r="152" spans="16:51" x14ac:dyDescent="0.25">
      <c r="Q152" s="234"/>
      <c r="V152" s="32"/>
      <c r="W152" s="32"/>
      <c r="X152" s="32"/>
      <c r="Y152" s="32"/>
      <c r="Z152" s="32"/>
      <c r="AA152" s="32"/>
    </row>
    <row r="153" spans="16:51" x14ac:dyDescent="0.25">
      <c r="Q153" s="234"/>
      <c r="V153" s="32"/>
      <c r="W153" s="32"/>
      <c r="X153" s="32"/>
      <c r="Y153" s="32"/>
      <c r="Z153" s="32"/>
      <c r="AA153" s="32"/>
    </row>
    <row r="154" spans="16:51" x14ac:dyDescent="0.25">
      <c r="Q154" s="234"/>
      <c r="V154" s="32"/>
      <c r="W154" s="32"/>
      <c r="X154" s="32"/>
      <c r="Y154" s="32"/>
      <c r="Z154" s="32"/>
      <c r="AA154" s="32"/>
    </row>
    <row r="155" spans="16:51" x14ac:dyDescent="0.25">
      <c r="Q155" s="234"/>
      <c r="V155" s="32"/>
      <c r="W155" s="32"/>
      <c r="X155" s="32"/>
      <c r="Y155" s="32"/>
      <c r="Z155" s="32"/>
      <c r="AA155" s="32"/>
    </row>
    <row r="156" spans="16:51" x14ac:dyDescent="0.25">
      <c r="Q156" s="234"/>
      <c r="V156" s="32"/>
      <c r="W156" s="32"/>
      <c r="X156" s="32"/>
      <c r="Y156" s="32"/>
      <c r="Z156" s="32"/>
      <c r="AA156" s="32"/>
    </row>
    <row r="157" spans="16:51" x14ac:dyDescent="0.25">
      <c r="Q157" s="234"/>
      <c r="V157" s="32"/>
      <c r="W157" s="32"/>
      <c r="X157" s="32"/>
      <c r="Y157" s="32"/>
      <c r="Z157" s="32"/>
      <c r="AA157" s="32"/>
    </row>
    <row r="158" spans="16:51" x14ac:dyDescent="0.25">
      <c r="Q158" s="234"/>
      <c r="V158" s="32"/>
      <c r="W158" s="32"/>
      <c r="X158" s="32"/>
      <c r="Y158" s="32"/>
      <c r="Z158" s="32"/>
      <c r="AA158" s="32"/>
    </row>
    <row r="159" spans="16:51" x14ac:dyDescent="0.25">
      <c r="Q159" s="234"/>
      <c r="V159" s="32"/>
      <c r="W159" s="32"/>
      <c r="X159" s="32"/>
      <c r="Y159" s="32"/>
      <c r="Z159" s="32"/>
      <c r="AA159" s="32"/>
    </row>
    <row r="160" spans="16:51" x14ac:dyDescent="0.25">
      <c r="Q160" s="234"/>
      <c r="V160" s="32"/>
      <c r="W160" s="32"/>
      <c r="X160" s="32"/>
      <c r="Y160" s="32"/>
      <c r="Z160" s="32"/>
      <c r="AA160" s="32"/>
    </row>
    <row r="161" spans="17:27" x14ac:dyDescent="0.25">
      <c r="Q161" s="234"/>
      <c r="V161" s="32"/>
      <c r="W161" s="32"/>
      <c r="X161" s="32"/>
      <c r="Y161" s="32"/>
      <c r="Z161" s="32"/>
      <c r="AA161" s="32"/>
    </row>
    <row r="162" spans="17:27" x14ac:dyDescent="0.25">
      <c r="Q162" s="234"/>
      <c r="V162" s="32"/>
      <c r="W162" s="32"/>
      <c r="X162" s="32"/>
      <c r="Y162" s="32"/>
      <c r="Z162" s="32"/>
      <c r="AA162" s="32"/>
    </row>
    <row r="163" spans="17:27" x14ac:dyDescent="0.25">
      <c r="Q163" s="234"/>
      <c r="V163" s="32"/>
      <c r="W163" s="32"/>
      <c r="X163" s="32"/>
      <c r="Y163" s="32"/>
      <c r="Z163" s="32"/>
      <c r="AA163" s="32"/>
    </row>
    <row r="164" spans="17:27" x14ac:dyDescent="0.25">
      <c r="Q164" s="234"/>
      <c r="V164" s="32"/>
      <c r="W164" s="32"/>
      <c r="X164" s="32"/>
      <c r="Y164" s="32"/>
      <c r="Z164" s="32"/>
      <c r="AA164" s="32"/>
    </row>
    <row r="165" spans="17:27" x14ac:dyDescent="0.25">
      <c r="Q165" s="234"/>
      <c r="V165" s="32"/>
      <c r="W165" s="32"/>
      <c r="X165" s="32"/>
      <c r="Y165" s="32"/>
      <c r="Z165" s="32"/>
      <c r="AA165" s="32"/>
    </row>
    <row r="166" spans="17:27" x14ac:dyDescent="0.25">
      <c r="Q166" s="234"/>
      <c r="V166" s="32"/>
      <c r="W166" s="32"/>
      <c r="X166" s="32"/>
      <c r="Y166" s="32"/>
      <c r="Z166" s="32"/>
      <c r="AA166" s="32"/>
    </row>
    <row r="167" spans="17:27" x14ac:dyDescent="0.25">
      <c r="Q167" s="234"/>
      <c r="V167" s="32"/>
      <c r="W167" s="32"/>
      <c r="X167" s="32"/>
      <c r="Y167" s="32"/>
      <c r="Z167" s="32"/>
      <c r="AA167" s="32"/>
    </row>
    <row r="168" spans="17:27" x14ac:dyDescent="0.25">
      <c r="Q168" s="234"/>
      <c r="V168" s="32"/>
      <c r="W168" s="32"/>
      <c r="X168" s="32"/>
      <c r="Y168" s="32"/>
      <c r="Z168" s="32"/>
      <c r="AA168" s="32"/>
    </row>
    <row r="169" spans="17:27" x14ac:dyDescent="0.25">
      <c r="Q169" s="234"/>
      <c r="V169" s="32"/>
      <c r="W169" s="32"/>
      <c r="X169" s="32"/>
      <c r="Y169" s="32"/>
      <c r="Z169" s="32"/>
      <c r="AA169" s="32"/>
    </row>
    <row r="170" spans="17:27" x14ac:dyDescent="0.25">
      <c r="Q170" s="234"/>
      <c r="V170" s="32"/>
      <c r="W170" s="32"/>
      <c r="X170" s="32"/>
      <c r="Y170" s="32"/>
      <c r="Z170" s="32"/>
      <c r="AA170" s="32"/>
    </row>
    <row r="171" spans="17:27" x14ac:dyDescent="0.25">
      <c r="Q171" s="234"/>
      <c r="V171" s="32"/>
      <c r="W171" s="32"/>
      <c r="X171" s="32"/>
      <c r="Y171" s="32"/>
      <c r="Z171" s="32"/>
      <c r="AA171" s="32"/>
    </row>
    <row r="172" spans="17:27" x14ac:dyDescent="0.25">
      <c r="Q172" s="234"/>
      <c r="V172" s="32"/>
      <c r="W172" s="32"/>
      <c r="X172" s="32"/>
      <c r="Y172" s="32"/>
      <c r="Z172" s="32"/>
      <c r="AA172" s="32"/>
    </row>
    <row r="173" spans="17:27" x14ac:dyDescent="0.25">
      <c r="Q173" s="234"/>
      <c r="V173" s="32"/>
      <c r="W173" s="32"/>
      <c r="X173" s="32"/>
      <c r="Y173" s="32"/>
      <c r="Z173" s="32"/>
      <c r="AA173" s="32"/>
    </row>
    <row r="174" spans="17:27" x14ac:dyDescent="0.25">
      <c r="Q174" s="234"/>
      <c r="V174" s="32"/>
      <c r="W174" s="32"/>
      <c r="X174" s="32"/>
      <c r="Y174" s="32"/>
      <c r="Z174" s="32"/>
      <c r="AA174" s="32"/>
    </row>
    <row r="175" spans="17:27" x14ac:dyDescent="0.25">
      <c r="Q175" s="234"/>
      <c r="V175" s="32"/>
      <c r="W175" s="32"/>
      <c r="X175" s="32"/>
      <c r="Y175" s="32"/>
      <c r="Z175" s="32"/>
      <c r="AA175" s="32"/>
    </row>
    <row r="176" spans="17:27" x14ac:dyDescent="0.25">
      <c r="Q176" s="234"/>
      <c r="V176" s="32"/>
      <c r="W176" s="32"/>
      <c r="X176" s="32"/>
      <c r="Y176" s="32"/>
      <c r="Z176" s="32"/>
      <c r="AA176" s="32"/>
    </row>
    <row r="177" spans="17:27" x14ac:dyDescent="0.25">
      <c r="Q177" s="234"/>
      <c r="V177" s="32"/>
      <c r="W177" s="32"/>
      <c r="X177" s="32"/>
      <c r="Y177" s="32"/>
      <c r="Z177" s="32"/>
      <c r="AA177" s="32"/>
    </row>
    <row r="178" spans="17:27" x14ac:dyDescent="0.25">
      <c r="Q178" s="234"/>
      <c r="V178" s="32"/>
      <c r="W178" s="32"/>
      <c r="X178" s="32"/>
      <c r="Y178" s="32"/>
      <c r="Z178" s="32"/>
      <c r="AA178" s="32"/>
    </row>
    <row r="179" spans="17:27" x14ac:dyDescent="0.25">
      <c r="Q179" s="234"/>
      <c r="V179" s="32"/>
      <c r="W179" s="32"/>
      <c r="X179" s="32"/>
      <c r="Y179" s="32"/>
      <c r="Z179" s="32"/>
      <c r="AA179" s="32"/>
    </row>
    <row r="180" spans="17:27" x14ac:dyDescent="0.25">
      <c r="Q180" s="234"/>
      <c r="V180" s="32"/>
      <c r="W180" s="32"/>
      <c r="X180" s="32"/>
      <c r="Y180" s="32"/>
      <c r="Z180" s="32"/>
      <c r="AA180" s="32"/>
    </row>
    <row r="181" spans="17:27" x14ac:dyDescent="0.25">
      <c r="Q181" s="234"/>
      <c r="V181" s="32"/>
      <c r="W181" s="32"/>
      <c r="X181" s="32"/>
      <c r="Y181" s="32"/>
      <c r="Z181" s="32"/>
      <c r="AA181" s="32"/>
    </row>
    <row r="182" spans="17:27" x14ac:dyDescent="0.25">
      <c r="Q182" s="234"/>
      <c r="V182" s="32"/>
      <c r="W182" s="32"/>
      <c r="X182" s="32"/>
      <c r="Y182" s="32"/>
      <c r="Z182" s="32"/>
      <c r="AA182" s="32"/>
    </row>
    <row r="183" spans="17:27" x14ac:dyDescent="0.25">
      <c r="Q183" s="234"/>
      <c r="V183" s="32"/>
      <c r="W183" s="32"/>
      <c r="X183" s="32"/>
      <c r="Y183" s="32"/>
      <c r="Z183" s="32"/>
      <c r="AA183" s="32"/>
    </row>
    <row r="184" spans="17:27" x14ac:dyDescent="0.25">
      <c r="Q184" s="234"/>
      <c r="V184" s="32"/>
      <c r="W184" s="32"/>
      <c r="X184" s="32"/>
      <c r="Y184" s="32"/>
      <c r="Z184" s="32"/>
      <c r="AA184" s="32"/>
    </row>
    <row r="185" spans="17:27" x14ac:dyDescent="0.25">
      <c r="Q185" s="234"/>
      <c r="V185" s="32"/>
      <c r="W185" s="32"/>
      <c r="X185" s="32"/>
      <c r="Y185" s="32"/>
      <c r="Z185" s="32"/>
      <c r="AA185" s="32"/>
    </row>
    <row r="186" spans="17:27" x14ac:dyDescent="0.25">
      <c r="Q186" s="234"/>
      <c r="V186" s="32"/>
      <c r="W186" s="32"/>
      <c r="X186" s="32"/>
      <c r="Y186" s="32"/>
      <c r="Z186" s="32"/>
      <c r="AA186" s="32"/>
    </row>
    <row r="187" spans="17:27" x14ac:dyDescent="0.25">
      <c r="Q187" s="234"/>
      <c r="V187" s="32"/>
      <c r="W187" s="32"/>
      <c r="X187" s="32"/>
      <c r="Y187" s="32"/>
      <c r="Z187" s="32"/>
      <c r="AA187" s="32"/>
    </row>
    <row r="188" spans="17:27" x14ac:dyDescent="0.25">
      <c r="Q188" s="234"/>
      <c r="V188" s="32"/>
      <c r="W188" s="32"/>
      <c r="X188" s="32"/>
      <c r="Y188" s="32"/>
      <c r="Z188" s="32"/>
      <c r="AA188" s="32"/>
    </row>
    <row r="189" spans="17:27" x14ac:dyDescent="0.25">
      <c r="Q189" s="234"/>
      <c r="V189" s="32"/>
      <c r="W189" s="32"/>
      <c r="X189" s="32"/>
      <c r="Y189" s="32"/>
      <c r="Z189" s="32"/>
      <c r="AA189" s="32"/>
    </row>
    <row r="190" spans="17:27" x14ac:dyDescent="0.25">
      <c r="Q190" s="234"/>
      <c r="V190" s="32"/>
      <c r="W190" s="32"/>
      <c r="X190" s="32"/>
      <c r="Y190" s="32"/>
      <c r="Z190" s="32"/>
      <c r="AA190" s="32"/>
    </row>
    <row r="191" spans="17:27" x14ac:dyDescent="0.25">
      <c r="Q191" s="234"/>
      <c r="V191" s="32"/>
      <c r="W191" s="32"/>
      <c r="X191" s="32"/>
      <c r="Y191" s="32"/>
      <c r="Z191" s="32"/>
      <c r="AA191" s="32"/>
    </row>
    <row r="192" spans="17:27" x14ac:dyDescent="0.25">
      <c r="Q192" s="234"/>
      <c r="V192" s="32"/>
      <c r="W192" s="32"/>
      <c r="X192" s="32"/>
      <c r="Y192" s="32"/>
      <c r="Z192" s="32"/>
      <c r="AA192" s="32"/>
    </row>
    <row r="193" spans="17:27" x14ac:dyDescent="0.25">
      <c r="Q193" s="234"/>
      <c r="V193" s="32"/>
      <c r="W193" s="32"/>
      <c r="X193" s="32"/>
      <c r="Y193" s="32"/>
      <c r="Z193" s="32"/>
      <c r="AA193" s="32"/>
    </row>
    <row r="194" spans="17:27" x14ac:dyDescent="0.25">
      <c r="Q194" s="234"/>
      <c r="V194" s="32"/>
      <c r="W194" s="32"/>
      <c r="X194" s="32"/>
      <c r="Y194" s="32"/>
      <c r="Z194" s="32"/>
      <c r="AA194" s="32"/>
    </row>
    <row r="195" spans="17:27" x14ac:dyDescent="0.25">
      <c r="Q195" s="234"/>
      <c r="V195" s="32"/>
      <c r="W195" s="32"/>
      <c r="X195" s="32"/>
      <c r="Y195" s="32"/>
      <c r="Z195" s="32"/>
      <c r="AA195" s="32"/>
    </row>
    <row r="196" spans="17:27" x14ac:dyDescent="0.25">
      <c r="Q196" s="234"/>
      <c r="V196" s="32"/>
      <c r="W196" s="32"/>
      <c r="X196" s="32"/>
      <c r="Y196" s="32"/>
      <c r="Z196" s="32"/>
      <c r="AA196" s="32"/>
    </row>
    <row r="197" spans="17:27" x14ac:dyDescent="0.25">
      <c r="Q197" s="234"/>
      <c r="V197" s="32"/>
      <c r="W197" s="32"/>
      <c r="X197" s="32"/>
      <c r="Y197" s="32"/>
      <c r="Z197" s="32"/>
      <c r="AA197" s="32"/>
    </row>
    <row r="198" spans="17:27" x14ac:dyDescent="0.25">
      <c r="Q198" s="234"/>
      <c r="V198" s="32"/>
      <c r="W198" s="32"/>
      <c r="X198" s="32"/>
      <c r="Y198" s="32"/>
      <c r="Z198" s="32"/>
      <c r="AA198" s="32"/>
    </row>
    <row r="199" spans="17:27" x14ac:dyDescent="0.25">
      <c r="Q199" s="234"/>
      <c r="V199" s="32"/>
      <c r="W199" s="32"/>
      <c r="X199" s="32"/>
      <c r="Y199" s="32"/>
      <c r="Z199" s="32"/>
      <c r="AA199" s="32"/>
    </row>
    <row r="200" spans="17:27" x14ac:dyDescent="0.25">
      <c r="Q200" s="234"/>
      <c r="V200" s="32"/>
      <c r="W200" s="32"/>
      <c r="X200" s="32"/>
      <c r="Y200" s="32"/>
      <c r="Z200" s="32"/>
      <c r="AA200" s="32"/>
    </row>
    <row r="201" spans="17:27" x14ac:dyDescent="0.25">
      <c r="Q201" s="234"/>
      <c r="V201" s="32"/>
      <c r="W201" s="32"/>
      <c r="X201" s="32"/>
      <c r="Y201" s="32"/>
      <c r="Z201" s="32"/>
      <c r="AA201" s="32"/>
    </row>
    <row r="202" spans="17:27" x14ac:dyDescent="0.25">
      <c r="Q202" s="234"/>
      <c r="V202" s="32"/>
      <c r="W202" s="32"/>
      <c r="X202" s="32"/>
      <c r="Y202" s="32"/>
      <c r="Z202" s="32"/>
      <c r="AA202" s="32"/>
    </row>
    <row r="203" spans="17:27" x14ac:dyDescent="0.25">
      <c r="Q203" s="234"/>
      <c r="V203" s="32"/>
      <c r="W203" s="32"/>
      <c r="X203" s="32"/>
      <c r="Y203" s="32"/>
      <c r="Z203" s="32"/>
      <c r="AA203" s="32"/>
    </row>
    <row r="204" spans="17:27" x14ac:dyDescent="0.25">
      <c r="Q204" s="234"/>
      <c r="V204" s="32"/>
      <c r="W204" s="32"/>
      <c r="X204" s="32"/>
      <c r="Y204" s="32"/>
      <c r="Z204" s="32"/>
      <c r="AA204" s="32"/>
    </row>
    <row r="205" spans="17:27" x14ac:dyDescent="0.25">
      <c r="Q205" s="234"/>
      <c r="V205" s="32"/>
      <c r="W205" s="32"/>
      <c r="X205" s="32"/>
      <c r="Y205" s="32"/>
      <c r="Z205" s="32"/>
      <c r="AA205" s="32"/>
    </row>
    <row r="206" spans="17:27" x14ac:dyDescent="0.25">
      <c r="Q206" s="234"/>
      <c r="V206" s="32"/>
      <c r="W206" s="32"/>
      <c r="X206" s="32"/>
      <c r="Y206" s="32"/>
      <c r="Z206" s="32"/>
      <c r="AA206" s="32"/>
    </row>
    <row r="207" spans="17:27" x14ac:dyDescent="0.25">
      <c r="Q207" s="234"/>
      <c r="V207" s="32"/>
      <c r="W207" s="32"/>
      <c r="X207" s="32"/>
      <c r="Y207" s="32"/>
      <c r="Z207" s="32"/>
      <c r="AA207" s="32"/>
    </row>
    <row r="208" spans="17:27" x14ac:dyDescent="0.25">
      <c r="Q208" s="234"/>
      <c r="V208" s="32"/>
      <c r="W208" s="32"/>
      <c r="X208" s="32"/>
      <c r="Y208" s="32"/>
      <c r="Z208" s="32"/>
      <c r="AA208" s="32"/>
    </row>
    <row r="209" spans="17:27" x14ac:dyDescent="0.25">
      <c r="Q209" s="234"/>
      <c r="V209" s="32"/>
      <c r="W209" s="32"/>
      <c r="X209" s="32"/>
      <c r="Y209" s="32"/>
      <c r="Z209" s="32"/>
      <c r="AA209" s="32"/>
    </row>
    <row r="210" spans="17:27" x14ac:dyDescent="0.25">
      <c r="Q210" s="234"/>
      <c r="V210" s="32"/>
      <c r="W210" s="32"/>
      <c r="X210" s="32"/>
      <c r="Y210" s="32"/>
      <c r="Z210" s="32"/>
      <c r="AA210" s="32"/>
    </row>
    <row r="211" spans="17:27" x14ac:dyDescent="0.25">
      <c r="Q211" s="234"/>
      <c r="V211" s="32"/>
      <c r="W211" s="32"/>
      <c r="X211" s="32"/>
      <c r="Y211" s="32"/>
      <c r="Z211" s="32"/>
      <c r="AA211" s="32"/>
    </row>
    <row r="212" spans="17:27" x14ac:dyDescent="0.25">
      <c r="Q212" s="234"/>
      <c r="V212" s="32"/>
      <c r="W212" s="32"/>
      <c r="X212" s="32"/>
      <c r="Y212" s="32"/>
      <c r="Z212" s="32"/>
      <c r="AA212" s="32"/>
    </row>
    <row r="213" spans="17:27" x14ac:dyDescent="0.25">
      <c r="Q213" s="234"/>
      <c r="V213" s="32"/>
      <c r="W213" s="32"/>
      <c r="X213" s="32"/>
      <c r="Y213" s="32"/>
      <c r="Z213" s="32"/>
      <c r="AA213" s="32"/>
    </row>
    <row r="214" spans="17:27" x14ac:dyDescent="0.25">
      <c r="Q214" s="234"/>
      <c r="V214" s="32"/>
      <c r="W214" s="32"/>
      <c r="X214" s="32"/>
      <c r="Y214" s="32"/>
      <c r="Z214" s="32"/>
      <c r="AA214" s="32"/>
    </row>
    <row r="215" spans="17:27" x14ac:dyDescent="0.25">
      <c r="Q215" s="234"/>
      <c r="V215" s="32"/>
      <c r="W215" s="32"/>
      <c r="X215" s="32"/>
      <c r="Y215" s="32"/>
      <c r="Z215" s="32"/>
      <c r="AA215" s="32"/>
    </row>
    <row r="216" spans="17:27" x14ac:dyDescent="0.25">
      <c r="Q216" s="234"/>
      <c r="V216" s="32"/>
      <c r="W216" s="32"/>
      <c r="X216" s="32"/>
      <c r="Y216" s="32"/>
      <c r="Z216" s="32"/>
      <c r="AA216" s="32"/>
    </row>
    <row r="217" spans="17:27" x14ac:dyDescent="0.25">
      <c r="Q217" s="234"/>
      <c r="V217" s="32"/>
      <c r="W217" s="32"/>
      <c r="X217" s="32"/>
      <c r="Y217" s="32"/>
      <c r="Z217" s="32"/>
      <c r="AA217" s="32"/>
    </row>
    <row r="218" spans="17:27" x14ac:dyDescent="0.25">
      <c r="Q218" s="234"/>
      <c r="V218" s="32"/>
      <c r="W218" s="32"/>
      <c r="X218" s="32"/>
      <c r="Y218" s="32"/>
      <c r="Z218" s="32"/>
      <c r="AA218" s="32"/>
    </row>
    <row r="219" spans="17:27" x14ac:dyDescent="0.25">
      <c r="Q219" s="234"/>
      <c r="V219" s="32"/>
      <c r="W219" s="32"/>
      <c r="X219" s="32"/>
      <c r="Y219" s="32"/>
      <c r="Z219" s="32"/>
      <c r="AA219" s="32"/>
    </row>
    <row r="220" spans="17:27" x14ac:dyDescent="0.25">
      <c r="Q220" s="234"/>
      <c r="V220" s="32"/>
      <c r="W220" s="32"/>
      <c r="X220" s="32"/>
      <c r="Y220" s="32"/>
      <c r="Z220" s="32"/>
      <c r="AA220" s="32"/>
    </row>
    <row r="221" spans="17:27" x14ac:dyDescent="0.25">
      <c r="Q221" s="234"/>
      <c r="V221" s="32"/>
      <c r="W221" s="32"/>
      <c r="X221" s="32"/>
      <c r="Y221" s="32"/>
      <c r="Z221" s="32"/>
      <c r="AA221" s="32"/>
    </row>
    <row r="222" spans="17:27" x14ac:dyDescent="0.25">
      <c r="Q222" s="234"/>
      <c r="V222" s="32"/>
      <c r="W222" s="32"/>
      <c r="X222" s="32"/>
      <c r="Y222" s="32"/>
      <c r="Z222" s="32"/>
      <c r="AA222" s="32"/>
    </row>
    <row r="223" spans="17:27" x14ac:dyDescent="0.25">
      <c r="Q223" s="234"/>
      <c r="V223" s="32"/>
      <c r="W223" s="32"/>
      <c r="X223" s="32"/>
      <c r="Y223" s="32"/>
      <c r="Z223" s="32"/>
      <c r="AA223" s="32"/>
    </row>
    <row r="224" spans="17:27" x14ac:dyDescent="0.25">
      <c r="Q224" s="234"/>
      <c r="V224" s="32"/>
      <c r="W224" s="32"/>
      <c r="X224" s="32"/>
      <c r="Y224" s="32"/>
      <c r="Z224" s="32"/>
      <c r="AA224" s="32"/>
    </row>
    <row r="225" spans="17:27" x14ac:dyDescent="0.25">
      <c r="Q225" s="234"/>
      <c r="V225" s="32"/>
      <c r="W225" s="32"/>
      <c r="X225" s="32"/>
      <c r="Y225" s="32"/>
      <c r="Z225" s="32"/>
      <c r="AA225" s="32"/>
    </row>
    <row r="226" spans="17:27" x14ac:dyDescent="0.25">
      <c r="Q226" s="234"/>
      <c r="V226" s="32"/>
      <c r="W226" s="32"/>
      <c r="X226" s="32"/>
      <c r="Y226" s="32"/>
      <c r="Z226" s="32"/>
      <c r="AA226" s="32"/>
    </row>
    <row r="227" spans="17:27" x14ac:dyDescent="0.25">
      <c r="Q227" s="234"/>
      <c r="V227" s="32"/>
      <c r="W227" s="32"/>
      <c r="X227" s="32"/>
      <c r="Y227" s="32"/>
      <c r="Z227" s="32"/>
      <c r="AA227" s="32"/>
    </row>
    <row r="228" spans="17:27" x14ac:dyDescent="0.25">
      <c r="Q228" s="234"/>
      <c r="V228" s="32"/>
      <c r="W228" s="32"/>
      <c r="X228" s="32"/>
      <c r="Y228" s="32"/>
      <c r="Z228" s="32"/>
      <c r="AA228" s="32"/>
    </row>
    <row r="229" spans="17:27" x14ac:dyDescent="0.25">
      <c r="Q229" s="234"/>
      <c r="V229" s="32"/>
      <c r="W229" s="32"/>
      <c r="X229" s="32"/>
      <c r="Y229" s="32"/>
      <c r="Z229" s="32"/>
      <c r="AA229" s="32"/>
    </row>
    <row r="230" spans="17:27" x14ac:dyDescent="0.25">
      <c r="Q230" s="234"/>
      <c r="V230" s="32"/>
      <c r="W230" s="32"/>
      <c r="X230" s="32"/>
      <c r="Y230" s="32"/>
      <c r="Z230" s="32"/>
      <c r="AA230" s="32"/>
    </row>
    <row r="231" spans="17:27" x14ac:dyDescent="0.25">
      <c r="Q231" s="234"/>
      <c r="V231" s="32"/>
      <c r="W231" s="32"/>
      <c r="X231" s="32"/>
      <c r="Y231" s="32"/>
      <c r="Z231" s="32"/>
      <c r="AA231" s="32"/>
    </row>
    <row r="232" spans="17:27" x14ac:dyDescent="0.25">
      <c r="Q232" s="234"/>
      <c r="V232" s="32"/>
      <c r="W232" s="32"/>
      <c r="X232" s="32"/>
      <c r="Y232" s="32"/>
      <c r="Z232" s="32"/>
      <c r="AA232" s="32"/>
    </row>
    <row r="233" spans="17:27" x14ac:dyDescent="0.25">
      <c r="Q233" s="234"/>
      <c r="V233" s="32"/>
      <c r="W233" s="32"/>
      <c r="X233" s="32"/>
      <c r="Y233" s="32"/>
      <c r="Z233" s="32"/>
      <c r="AA233" s="32"/>
    </row>
    <row r="234" spans="17:27" x14ac:dyDescent="0.25">
      <c r="Q234" s="234"/>
      <c r="V234" s="32"/>
      <c r="W234" s="32"/>
      <c r="X234" s="32"/>
      <c r="Y234" s="32"/>
      <c r="Z234" s="32"/>
      <c r="AA234" s="32"/>
    </row>
    <row r="235" spans="17:27" x14ac:dyDescent="0.25">
      <c r="Q235" s="234"/>
      <c r="V235" s="32"/>
      <c r="W235" s="32"/>
      <c r="X235" s="32"/>
      <c r="Y235" s="32"/>
      <c r="Z235" s="32"/>
      <c r="AA235" s="32"/>
    </row>
    <row r="236" spans="17:27" x14ac:dyDescent="0.25">
      <c r="Q236" s="234"/>
      <c r="V236" s="32"/>
      <c r="W236" s="32"/>
      <c r="X236" s="32"/>
      <c r="Y236" s="32"/>
      <c r="Z236" s="32"/>
      <c r="AA236" s="32"/>
    </row>
    <row r="237" spans="17:27" x14ac:dyDescent="0.25">
      <c r="Q237" s="234"/>
      <c r="V237" s="32"/>
      <c r="W237" s="32"/>
      <c r="X237" s="32"/>
      <c r="Y237" s="32"/>
      <c r="Z237" s="32"/>
      <c r="AA237" s="32"/>
    </row>
    <row r="238" spans="17:27" x14ac:dyDescent="0.25">
      <c r="Q238" s="234"/>
      <c r="V238" s="32"/>
      <c r="W238" s="32"/>
      <c r="X238" s="32"/>
      <c r="Y238" s="32"/>
      <c r="Z238" s="32"/>
      <c r="AA238" s="32"/>
    </row>
    <row r="239" spans="17:27" x14ac:dyDescent="0.25">
      <c r="Q239" s="234"/>
      <c r="V239" s="32"/>
      <c r="W239" s="32"/>
      <c r="X239" s="32"/>
      <c r="Y239" s="32"/>
      <c r="Z239" s="32"/>
      <c r="AA239" s="32"/>
    </row>
    <row r="240" spans="17:27" x14ac:dyDescent="0.25">
      <c r="Q240" s="234"/>
      <c r="V240" s="32"/>
      <c r="W240" s="32"/>
      <c r="X240" s="32"/>
      <c r="Y240" s="32"/>
      <c r="Z240" s="32"/>
      <c r="AA240" s="32"/>
    </row>
    <row r="241" spans="17:27" x14ac:dyDescent="0.25">
      <c r="Q241" s="234"/>
      <c r="V241" s="32"/>
      <c r="W241" s="32"/>
      <c r="X241" s="32"/>
      <c r="Y241" s="32"/>
      <c r="Z241" s="32"/>
      <c r="AA241" s="32"/>
    </row>
    <row r="242" spans="17:27" x14ac:dyDescent="0.25">
      <c r="Q242" s="234"/>
      <c r="V242" s="32"/>
      <c r="W242" s="32"/>
      <c r="X242" s="32"/>
      <c r="Y242" s="32"/>
      <c r="Z242" s="32"/>
      <c r="AA242" s="32"/>
    </row>
    <row r="243" spans="17:27" x14ac:dyDescent="0.25">
      <c r="Q243" s="234"/>
      <c r="V243" s="32"/>
      <c r="W243" s="32"/>
      <c r="X243" s="32"/>
      <c r="Y243" s="32"/>
      <c r="Z243" s="32"/>
      <c r="AA243" s="32"/>
    </row>
    <row r="244" spans="17:27" x14ac:dyDescent="0.25">
      <c r="Q244" s="234"/>
      <c r="V244" s="32"/>
      <c r="W244" s="32"/>
      <c r="X244" s="32"/>
      <c r="Y244" s="32"/>
      <c r="Z244" s="32"/>
      <c r="AA244" s="32"/>
    </row>
    <row r="245" spans="17:27" x14ac:dyDescent="0.25">
      <c r="Q245" s="234"/>
      <c r="V245" s="32"/>
      <c r="W245" s="32"/>
      <c r="X245" s="32"/>
      <c r="Y245" s="32"/>
      <c r="Z245" s="32"/>
      <c r="AA245" s="32"/>
    </row>
    <row r="246" spans="17:27" x14ac:dyDescent="0.25">
      <c r="Q246" s="234"/>
      <c r="V246" s="32"/>
      <c r="W246" s="32"/>
      <c r="X246" s="32"/>
      <c r="Y246" s="32"/>
      <c r="Z246" s="32"/>
      <c r="AA246" s="32"/>
    </row>
    <row r="247" spans="17:27" x14ac:dyDescent="0.25">
      <c r="Q247" s="234"/>
      <c r="V247" s="32"/>
      <c r="W247" s="32"/>
      <c r="X247" s="32"/>
      <c r="Y247" s="32"/>
      <c r="Z247" s="32"/>
      <c r="AA247" s="32"/>
    </row>
    <row r="248" spans="17:27" x14ac:dyDescent="0.25">
      <c r="Q248" s="234"/>
      <c r="V248" s="32"/>
      <c r="W248" s="32"/>
      <c r="X248" s="32"/>
      <c r="Y248" s="32"/>
      <c r="Z248" s="32"/>
      <c r="AA248" s="32"/>
    </row>
    <row r="249" spans="17:27" x14ac:dyDescent="0.25">
      <c r="Q249" s="234"/>
      <c r="V249" s="32"/>
      <c r="W249" s="32"/>
      <c r="X249" s="32"/>
      <c r="Y249" s="32"/>
      <c r="Z249" s="32"/>
      <c r="AA249" s="32"/>
    </row>
    <row r="250" spans="17:27" x14ac:dyDescent="0.25">
      <c r="Q250" s="234"/>
      <c r="V250" s="32"/>
      <c r="W250" s="32"/>
      <c r="X250" s="32"/>
      <c r="Y250" s="32"/>
      <c r="Z250" s="32"/>
      <c r="AA250" s="32"/>
    </row>
    <row r="251" spans="17:27" x14ac:dyDescent="0.25">
      <c r="Q251" s="234"/>
      <c r="V251" s="32"/>
      <c r="W251" s="32"/>
      <c r="X251" s="32"/>
      <c r="Y251" s="32"/>
      <c r="Z251" s="32"/>
      <c r="AA251" s="32"/>
    </row>
    <row r="252" spans="17:27" x14ac:dyDescent="0.25">
      <c r="Q252" s="234"/>
      <c r="V252" s="32"/>
      <c r="W252" s="32"/>
      <c r="X252" s="32"/>
      <c r="Y252" s="32"/>
      <c r="Z252" s="32"/>
      <c r="AA252" s="32"/>
    </row>
    <row r="253" spans="17:27" x14ac:dyDescent="0.25">
      <c r="Q253" s="234"/>
      <c r="V253" s="32"/>
      <c r="W253" s="32"/>
      <c r="X253" s="32"/>
      <c r="Y253" s="32"/>
      <c r="Z253" s="32"/>
      <c r="AA253" s="32"/>
    </row>
    <row r="254" spans="17:27" x14ac:dyDescent="0.25">
      <c r="Q254" s="234"/>
      <c r="V254" s="32"/>
      <c r="W254" s="32"/>
      <c r="X254" s="32"/>
      <c r="Y254" s="32"/>
      <c r="Z254" s="32"/>
      <c r="AA254" s="32"/>
    </row>
    <row r="255" spans="17:27" x14ac:dyDescent="0.25">
      <c r="Q255" s="234"/>
      <c r="V255" s="32"/>
      <c r="W255" s="32"/>
      <c r="X255" s="32"/>
      <c r="Y255" s="32"/>
      <c r="Z255" s="32"/>
      <c r="AA255" s="32"/>
    </row>
    <row r="256" spans="17:27" x14ac:dyDescent="0.25">
      <c r="Q256" s="234"/>
      <c r="V256" s="32"/>
      <c r="W256" s="32"/>
      <c r="X256" s="32"/>
      <c r="Y256" s="32"/>
      <c r="Z256" s="32"/>
      <c r="AA256" s="32"/>
    </row>
    <row r="257" spans="17:27" x14ac:dyDescent="0.25">
      <c r="Q257" s="234"/>
      <c r="V257" s="32"/>
      <c r="W257" s="32"/>
      <c r="X257" s="32"/>
      <c r="Y257" s="32"/>
      <c r="Z257" s="32"/>
      <c r="AA257" s="32"/>
    </row>
    <row r="258" spans="17:27" x14ac:dyDescent="0.25">
      <c r="Q258" s="234"/>
      <c r="V258" s="32"/>
      <c r="W258" s="32"/>
      <c r="X258" s="32"/>
      <c r="Y258" s="32"/>
      <c r="Z258" s="32"/>
      <c r="AA258" s="32"/>
    </row>
    <row r="259" spans="17:27" x14ac:dyDescent="0.25">
      <c r="Q259" s="234"/>
      <c r="V259" s="32"/>
      <c r="W259" s="32"/>
      <c r="X259" s="32"/>
      <c r="Y259" s="32"/>
      <c r="Z259" s="32"/>
      <c r="AA259" s="32"/>
    </row>
    <row r="260" spans="17:27" x14ac:dyDescent="0.25">
      <c r="Q260" s="234"/>
      <c r="V260" s="32"/>
      <c r="W260" s="32"/>
      <c r="X260" s="32"/>
      <c r="Y260" s="32"/>
      <c r="Z260" s="32"/>
      <c r="AA260" s="32"/>
    </row>
    <row r="261" spans="17:27" x14ac:dyDescent="0.25">
      <c r="Q261" s="234"/>
      <c r="V261" s="32"/>
      <c r="W261" s="32"/>
      <c r="X261" s="32"/>
      <c r="Y261" s="32"/>
      <c r="Z261" s="32"/>
      <c r="AA261" s="32"/>
    </row>
    <row r="262" spans="17:27" x14ac:dyDescent="0.25">
      <c r="Q262" s="234"/>
      <c r="V262" s="32"/>
      <c r="W262" s="32"/>
      <c r="X262" s="32"/>
      <c r="Y262" s="32"/>
      <c r="Z262" s="32"/>
      <c r="AA262" s="32"/>
    </row>
    <row r="263" spans="17:27" x14ac:dyDescent="0.25">
      <c r="Q263" s="234"/>
      <c r="V263" s="32"/>
      <c r="W263" s="32"/>
      <c r="X263" s="32"/>
      <c r="Y263" s="32"/>
      <c r="Z263" s="32"/>
      <c r="AA263" s="32"/>
    </row>
    <row r="264" spans="17:27" x14ac:dyDescent="0.25">
      <c r="Q264" s="234"/>
      <c r="V264" s="32"/>
      <c r="W264" s="32"/>
      <c r="X264" s="32"/>
      <c r="Y264" s="32"/>
      <c r="Z264" s="32"/>
      <c r="AA264" s="32"/>
    </row>
    <row r="265" spans="17:27" x14ac:dyDescent="0.25">
      <c r="Q265" s="234"/>
      <c r="V265" s="32"/>
      <c r="W265" s="32"/>
      <c r="X265" s="32"/>
      <c r="Y265" s="32"/>
      <c r="Z265" s="32"/>
      <c r="AA265" s="32"/>
    </row>
    <row r="266" spans="17:27" x14ac:dyDescent="0.25">
      <c r="Q266" s="234"/>
      <c r="V266" s="32"/>
      <c r="W266" s="32"/>
      <c r="X266" s="32"/>
      <c r="Y266" s="32"/>
      <c r="Z266" s="32"/>
      <c r="AA266" s="32"/>
    </row>
    <row r="267" spans="17:27" x14ac:dyDescent="0.25">
      <c r="Q267" s="234"/>
      <c r="V267" s="32"/>
      <c r="W267" s="32"/>
      <c r="X267" s="32"/>
      <c r="Y267" s="32"/>
      <c r="Z267" s="32"/>
      <c r="AA267" s="32"/>
    </row>
    <row r="268" spans="17:27" x14ac:dyDescent="0.25">
      <c r="Q268" s="234"/>
      <c r="V268" s="32"/>
      <c r="W268" s="32"/>
      <c r="X268" s="32"/>
      <c r="Y268" s="32"/>
      <c r="Z268" s="32"/>
      <c r="AA268" s="32"/>
    </row>
    <row r="269" spans="17:27" x14ac:dyDescent="0.25">
      <c r="Q269" s="234"/>
      <c r="V269" s="32"/>
      <c r="W269" s="32"/>
      <c r="X269" s="32"/>
      <c r="Y269" s="32"/>
      <c r="Z269" s="32"/>
      <c r="AA269" s="32"/>
    </row>
    <row r="270" spans="17:27" x14ac:dyDescent="0.25">
      <c r="Q270" s="234"/>
      <c r="V270" s="32"/>
      <c r="W270" s="32"/>
      <c r="X270" s="32"/>
      <c r="Y270" s="32"/>
      <c r="Z270" s="32"/>
      <c r="AA270" s="32"/>
    </row>
    <row r="271" spans="17:27" x14ac:dyDescent="0.25">
      <c r="Q271" s="234"/>
      <c r="V271" s="32"/>
      <c r="W271" s="32"/>
      <c r="X271" s="32"/>
      <c r="Y271" s="32"/>
      <c r="Z271" s="32"/>
      <c r="AA271" s="32"/>
    </row>
    <row r="272" spans="17:27" x14ac:dyDescent="0.25">
      <c r="Q272" s="234"/>
      <c r="V272" s="32"/>
      <c r="W272" s="32"/>
      <c r="X272" s="32"/>
      <c r="Y272" s="32"/>
      <c r="Z272" s="32"/>
      <c r="AA272" s="32"/>
    </row>
    <row r="273" spans="17:27" x14ac:dyDescent="0.25">
      <c r="Q273" s="234"/>
      <c r="V273" s="32"/>
      <c r="W273" s="32"/>
      <c r="X273" s="32"/>
      <c r="Y273" s="32"/>
      <c r="Z273" s="32"/>
      <c r="AA273" s="32"/>
    </row>
    <row r="274" spans="17:27" x14ac:dyDescent="0.25">
      <c r="Q274" s="234"/>
      <c r="V274" s="32"/>
      <c r="W274" s="32"/>
      <c r="X274" s="32"/>
      <c r="Y274" s="32"/>
      <c r="Z274" s="32"/>
      <c r="AA274" s="32"/>
    </row>
    <row r="275" spans="17:27" x14ac:dyDescent="0.25">
      <c r="Q275" s="234"/>
      <c r="V275" s="32"/>
      <c r="W275" s="32"/>
      <c r="X275" s="32"/>
      <c r="Y275" s="32"/>
      <c r="Z275" s="32"/>
      <c r="AA275" s="32"/>
    </row>
    <row r="276" spans="17:27" x14ac:dyDescent="0.25">
      <c r="Q276" s="234"/>
      <c r="V276" s="32"/>
      <c r="W276" s="32"/>
      <c r="X276" s="32"/>
      <c r="Y276" s="32"/>
      <c r="Z276" s="32"/>
      <c r="AA276" s="32"/>
    </row>
    <row r="277" spans="17:27" x14ac:dyDescent="0.25">
      <c r="Q277" s="234"/>
      <c r="V277" s="32"/>
      <c r="W277" s="32"/>
      <c r="X277" s="32"/>
      <c r="Y277" s="32"/>
      <c r="Z277" s="32"/>
      <c r="AA277" s="32"/>
    </row>
    <row r="278" spans="17:27" x14ac:dyDescent="0.25">
      <c r="Q278" s="234"/>
      <c r="V278" s="32"/>
      <c r="W278" s="32"/>
      <c r="X278" s="32"/>
      <c r="Y278" s="32"/>
      <c r="Z278" s="32"/>
      <c r="AA278" s="32"/>
    </row>
    <row r="279" spans="17:27" x14ac:dyDescent="0.25">
      <c r="Q279" s="234"/>
      <c r="V279" s="32"/>
      <c r="W279" s="32"/>
      <c r="X279" s="32"/>
      <c r="Y279" s="32"/>
      <c r="Z279" s="32"/>
      <c r="AA279" s="32"/>
    </row>
    <row r="280" spans="17:27" x14ac:dyDescent="0.25">
      <c r="Q280" s="234"/>
      <c r="V280" s="32"/>
      <c r="W280" s="32"/>
      <c r="X280" s="32"/>
      <c r="Y280" s="32"/>
      <c r="Z280" s="32"/>
      <c r="AA280" s="32"/>
    </row>
    <row r="281" spans="17:27" x14ac:dyDescent="0.25">
      <c r="Q281" s="234"/>
      <c r="V281" s="32"/>
      <c r="W281" s="32"/>
      <c r="X281" s="32"/>
      <c r="Y281" s="32"/>
      <c r="Z281" s="32"/>
      <c r="AA281" s="32"/>
    </row>
    <row r="282" spans="17:27" x14ac:dyDescent="0.25">
      <c r="Q282" s="234"/>
      <c r="V282" s="32"/>
      <c r="W282" s="32"/>
      <c r="X282" s="32"/>
      <c r="Y282" s="32"/>
      <c r="Z282" s="32"/>
      <c r="AA282" s="32"/>
    </row>
    <row r="283" spans="17:27" x14ac:dyDescent="0.25">
      <c r="Q283" s="234"/>
      <c r="V283" s="32"/>
      <c r="W283" s="32"/>
      <c r="X283" s="32"/>
      <c r="Y283" s="32"/>
      <c r="Z283" s="32"/>
      <c r="AA283" s="32"/>
    </row>
    <row r="284" spans="17:27" x14ac:dyDescent="0.25">
      <c r="Q284" s="234"/>
      <c r="V284" s="32"/>
      <c r="W284" s="32"/>
      <c r="X284" s="32"/>
      <c r="Y284" s="32"/>
      <c r="Z284" s="32"/>
      <c r="AA284" s="32"/>
    </row>
    <row r="285" spans="17:27" x14ac:dyDescent="0.25">
      <c r="Q285" s="234"/>
      <c r="V285" s="32"/>
      <c r="W285" s="32"/>
      <c r="X285" s="32"/>
      <c r="Y285" s="32"/>
      <c r="Z285" s="32"/>
      <c r="AA285" s="32"/>
    </row>
    <row r="286" spans="17:27" x14ac:dyDescent="0.25">
      <c r="Q286" s="234"/>
      <c r="V286" s="32"/>
      <c r="W286" s="32"/>
      <c r="X286" s="32"/>
      <c r="Y286" s="32"/>
      <c r="Z286" s="32"/>
      <c r="AA286" s="32"/>
    </row>
    <row r="287" spans="17:27" x14ac:dyDescent="0.25">
      <c r="Q287" s="234"/>
      <c r="V287" s="32"/>
      <c r="W287" s="32"/>
      <c r="X287" s="32"/>
      <c r="Y287" s="32"/>
      <c r="Z287" s="32"/>
      <c r="AA287" s="32"/>
    </row>
    <row r="288" spans="17:27" x14ac:dyDescent="0.25">
      <c r="Q288" s="234"/>
      <c r="V288" s="32"/>
      <c r="W288" s="32"/>
      <c r="X288" s="32"/>
      <c r="Y288" s="32"/>
      <c r="Z288" s="32"/>
      <c r="AA288" s="32"/>
    </row>
    <row r="289" spans="17:27" x14ac:dyDescent="0.25">
      <c r="Q289" s="234"/>
      <c r="V289" s="32"/>
      <c r="W289" s="32"/>
      <c r="X289" s="32"/>
      <c r="Y289" s="32"/>
      <c r="Z289" s="32"/>
      <c r="AA289" s="32"/>
    </row>
    <row r="290" spans="17:27" x14ac:dyDescent="0.25">
      <c r="Q290" s="234"/>
      <c r="V290" s="32"/>
      <c r="W290" s="32"/>
      <c r="X290" s="32"/>
      <c r="Y290" s="32"/>
      <c r="Z290" s="32"/>
      <c r="AA290" s="32"/>
    </row>
    <row r="291" spans="17:27" x14ac:dyDescent="0.25">
      <c r="Q291" s="234"/>
      <c r="V291" s="32"/>
      <c r="W291" s="32"/>
      <c r="X291" s="32"/>
      <c r="Y291" s="32"/>
      <c r="Z291" s="32"/>
      <c r="AA291" s="32"/>
    </row>
    <row r="292" spans="17:27" x14ac:dyDescent="0.25">
      <c r="Q292" s="234"/>
      <c r="V292" s="32"/>
      <c r="W292" s="32"/>
      <c r="X292" s="32"/>
      <c r="Y292" s="32"/>
      <c r="Z292" s="32"/>
      <c r="AA292" s="32"/>
    </row>
    <row r="293" spans="17:27" x14ac:dyDescent="0.25">
      <c r="Q293" s="234"/>
      <c r="V293" s="32"/>
      <c r="W293" s="32"/>
      <c r="X293" s="32"/>
      <c r="Y293" s="32"/>
      <c r="Z293" s="32"/>
      <c r="AA293" s="32"/>
    </row>
    <row r="294" spans="17:27" x14ac:dyDescent="0.25">
      <c r="Q294" s="234"/>
      <c r="V294" s="32"/>
      <c r="W294" s="32"/>
      <c r="X294" s="32"/>
      <c r="Y294" s="32"/>
      <c r="Z294" s="32"/>
      <c r="AA294" s="32"/>
    </row>
    <row r="295" spans="17:27" x14ac:dyDescent="0.25">
      <c r="Q295" s="234"/>
      <c r="V295" s="32"/>
      <c r="W295" s="32"/>
      <c r="X295" s="32"/>
      <c r="Y295" s="32"/>
      <c r="Z295" s="32"/>
      <c r="AA295" s="32"/>
    </row>
    <row r="296" spans="17:27" x14ac:dyDescent="0.25">
      <c r="Q296" s="234"/>
      <c r="V296" s="32"/>
      <c r="W296" s="32"/>
      <c r="X296" s="32"/>
      <c r="Y296" s="32"/>
      <c r="Z296" s="32"/>
      <c r="AA296" s="32"/>
    </row>
    <row r="297" spans="17:27" x14ac:dyDescent="0.25">
      <c r="Q297" s="234"/>
      <c r="V297" s="32"/>
      <c r="W297" s="32"/>
      <c r="X297" s="32"/>
      <c r="Y297" s="32"/>
      <c r="Z297" s="32"/>
      <c r="AA297" s="32"/>
    </row>
    <row r="298" spans="17:27" x14ac:dyDescent="0.25">
      <c r="Q298" s="234"/>
      <c r="V298" s="32"/>
      <c r="W298" s="32"/>
      <c r="X298" s="32"/>
      <c r="Y298" s="32"/>
      <c r="Z298" s="32"/>
      <c r="AA298" s="32"/>
    </row>
    <row r="299" spans="17:27" x14ac:dyDescent="0.25">
      <c r="Q299" s="234"/>
      <c r="V299" s="32"/>
      <c r="W299" s="32"/>
      <c r="X299" s="32"/>
      <c r="Y299" s="32"/>
      <c r="Z299" s="32"/>
      <c r="AA299" s="32"/>
    </row>
    <row r="300" spans="17:27" x14ac:dyDescent="0.25">
      <c r="Q300" s="234"/>
      <c r="V300" s="32"/>
      <c r="W300" s="32"/>
      <c r="X300" s="32"/>
      <c r="Y300" s="32"/>
      <c r="Z300" s="32"/>
      <c r="AA300" s="32"/>
    </row>
    <row r="301" spans="17:27" x14ac:dyDescent="0.25">
      <c r="Q301" s="234"/>
      <c r="V301" s="32"/>
      <c r="W301" s="32"/>
      <c r="X301" s="32"/>
      <c r="Y301" s="32"/>
      <c r="Z301" s="32"/>
      <c r="AA301" s="32"/>
    </row>
    <row r="302" spans="17:27" x14ac:dyDescent="0.25">
      <c r="Q302" s="234"/>
      <c r="V302" s="32"/>
      <c r="W302" s="32"/>
      <c r="X302" s="32"/>
      <c r="Y302" s="32"/>
      <c r="Z302" s="32"/>
      <c r="AA302" s="32"/>
    </row>
    <row r="303" spans="17:27" x14ac:dyDescent="0.25">
      <c r="Q303" s="234"/>
      <c r="V303" s="32"/>
      <c r="W303" s="32"/>
      <c r="X303" s="32"/>
      <c r="Y303" s="32"/>
      <c r="Z303" s="32"/>
      <c r="AA303" s="32"/>
    </row>
    <row r="304" spans="17:27" x14ac:dyDescent="0.25">
      <c r="Q304" s="234"/>
      <c r="V304" s="32"/>
      <c r="W304" s="32"/>
      <c r="X304" s="32"/>
      <c r="Y304" s="32"/>
      <c r="Z304" s="32"/>
      <c r="AA304" s="32"/>
    </row>
    <row r="305" spans="17:27" x14ac:dyDescent="0.25">
      <c r="Q305" s="234"/>
      <c r="V305" s="32"/>
      <c r="W305" s="32"/>
      <c r="X305" s="32"/>
      <c r="Y305" s="32"/>
      <c r="Z305" s="32"/>
      <c r="AA305" s="32"/>
    </row>
    <row r="306" spans="17:27" x14ac:dyDescent="0.25">
      <c r="Q306" s="234"/>
      <c r="V306" s="32"/>
      <c r="W306" s="32"/>
      <c r="X306" s="32"/>
      <c r="Y306" s="32"/>
      <c r="Z306" s="32"/>
      <c r="AA306" s="32"/>
    </row>
    <row r="307" spans="17:27" x14ac:dyDescent="0.25">
      <c r="Q307" s="234"/>
      <c r="V307" s="32"/>
      <c r="W307" s="32"/>
      <c r="X307" s="32"/>
      <c r="Y307" s="32"/>
      <c r="Z307" s="32"/>
      <c r="AA307" s="32"/>
    </row>
    <row r="308" spans="17:27" x14ac:dyDescent="0.25">
      <c r="Q308" s="234"/>
      <c r="V308" s="32"/>
      <c r="W308" s="32"/>
      <c r="X308" s="32"/>
      <c r="Y308" s="32"/>
      <c r="Z308" s="32"/>
      <c r="AA308" s="32"/>
    </row>
    <row r="309" spans="17:27" x14ac:dyDescent="0.25">
      <c r="Q309" s="234"/>
      <c r="V309" s="32"/>
      <c r="W309" s="32"/>
      <c r="X309" s="32"/>
      <c r="Y309" s="32"/>
      <c r="Z309" s="32"/>
      <c r="AA309" s="32"/>
    </row>
    <row r="310" spans="17:27" x14ac:dyDescent="0.25">
      <c r="Q310" s="234"/>
      <c r="V310" s="32"/>
      <c r="W310" s="32"/>
      <c r="X310" s="32"/>
      <c r="Y310" s="32"/>
      <c r="Z310" s="32"/>
      <c r="AA310" s="32"/>
    </row>
    <row r="311" spans="17:27" x14ac:dyDescent="0.25">
      <c r="Q311" s="234"/>
      <c r="V311" s="32"/>
      <c r="W311" s="32"/>
      <c r="X311" s="32"/>
      <c r="Y311" s="32"/>
      <c r="Z311" s="32"/>
      <c r="AA311" s="32"/>
    </row>
    <row r="312" spans="17:27" x14ac:dyDescent="0.25">
      <c r="Q312" s="234"/>
      <c r="V312" s="32"/>
      <c r="W312" s="32"/>
      <c r="X312" s="32"/>
      <c r="Y312" s="32"/>
      <c r="Z312" s="32"/>
      <c r="AA312" s="32"/>
    </row>
    <row r="313" spans="17:27" x14ac:dyDescent="0.25">
      <c r="Q313" s="234"/>
      <c r="V313" s="32"/>
      <c r="W313" s="32"/>
      <c r="X313" s="32"/>
      <c r="Y313" s="32"/>
      <c r="Z313" s="32"/>
      <c r="AA313" s="32"/>
    </row>
    <row r="314" spans="17:27" x14ac:dyDescent="0.25">
      <c r="Q314" s="234"/>
      <c r="V314" s="32"/>
      <c r="W314" s="32"/>
      <c r="X314" s="32"/>
      <c r="Y314" s="32"/>
      <c r="Z314" s="32"/>
      <c r="AA314" s="32"/>
    </row>
    <row r="315" spans="17:27" x14ac:dyDescent="0.25">
      <c r="Q315" s="234"/>
      <c r="V315" s="32"/>
      <c r="W315" s="32"/>
      <c r="X315" s="32"/>
      <c r="Y315" s="32"/>
      <c r="Z315" s="32"/>
      <c r="AA315" s="32"/>
    </row>
    <row r="316" spans="17:27" x14ac:dyDescent="0.25">
      <c r="Q316" s="234"/>
      <c r="V316" s="32"/>
      <c r="W316" s="32"/>
      <c r="X316" s="32"/>
      <c r="Y316" s="32"/>
      <c r="Z316" s="32"/>
      <c r="AA316" s="32"/>
    </row>
    <row r="317" spans="17:27" x14ac:dyDescent="0.25">
      <c r="Q317" s="234"/>
      <c r="V317" s="32"/>
      <c r="W317" s="32"/>
      <c r="X317" s="32"/>
      <c r="Y317" s="32"/>
      <c r="Z317" s="32"/>
      <c r="AA317" s="32"/>
    </row>
    <row r="318" spans="17:27" x14ac:dyDescent="0.25">
      <c r="Q318" s="234"/>
      <c r="V318" s="32"/>
      <c r="W318" s="32"/>
      <c r="X318" s="32"/>
      <c r="Y318" s="32"/>
      <c r="Z318" s="32"/>
      <c r="AA318" s="32"/>
    </row>
    <row r="319" spans="17:27" x14ac:dyDescent="0.25">
      <c r="Q319" s="234"/>
      <c r="V319" s="32"/>
      <c r="W319" s="32"/>
      <c r="X319" s="32"/>
      <c r="Y319" s="32"/>
      <c r="Z319" s="32"/>
      <c r="AA319" s="32"/>
    </row>
    <row r="320" spans="17:27" x14ac:dyDescent="0.25">
      <c r="Q320" s="234"/>
      <c r="V320" s="32"/>
      <c r="W320" s="32"/>
      <c r="X320" s="32"/>
      <c r="Y320" s="32"/>
      <c r="Z320" s="32"/>
      <c r="AA320" s="32"/>
    </row>
    <row r="321" spans="17:27" x14ac:dyDescent="0.25">
      <c r="Q321" s="234"/>
      <c r="V321" s="32"/>
      <c r="W321" s="32"/>
      <c r="X321" s="32"/>
      <c r="Y321" s="32"/>
      <c r="Z321" s="32"/>
      <c r="AA321" s="32"/>
    </row>
    <row r="322" spans="17:27" x14ac:dyDescent="0.25">
      <c r="Q322" s="234"/>
      <c r="V322" s="32"/>
      <c r="W322" s="32"/>
      <c r="X322" s="32"/>
      <c r="Y322" s="32"/>
      <c r="Z322" s="32"/>
      <c r="AA322" s="32"/>
    </row>
    <row r="323" spans="17:27" x14ac:dyDescent="0.25">
      <c r="Q323" s="234"/>
      <c r="V323" s="32"/>
      <c r="W323" s="32"/>
      <c r="X323" s="32"/>
      <c r="Y323" s="32"/>
      <c r="Z323" s="32"/>
      <c r="AA323" s="32"/>
    </row>
    <row r="324" spans="17:27" x14ac:dyDescent="0.25">
      <c r="Q324" s="234"/>
      <c r="V324" s="32"/>
      <c r="W324" s="32"/>
      <c r="X324" s="32"/>
      <c r="Y324" s="32"/>
      <c r="Z324" s="32"/>
      <c r="AA324" s="32"/>
    </row>
    <row r="325" spans="17:27" x14ac:dyDescent="0.25">
      <c r="Q325" s="234"/>
      <c r="V325" s="32"/>
      <c r="W325" s="32"/>
      <c r="X325" s="32"/>
      <c r="Y325" s="32"/>
      <c r="Z325" s="32"/>
      <c r="AA325" s="32"/>
    </row>
    <row r="326" spans="17:27" x14ac:dyDescent="0.25">
      <c r="Q326" s="234"/>
      <c r="V326" s="32"/>
      <c r="W326" s="32"/>
      <c r="X326" s="32"/>
      <c r="Y326" s="32"/>
      <c r="Z326" s="32"/>
      <c r="AA326" s="32"/>
    </row>
    <row r="327" spans="17:27" x14ac:dyDescent="0.25">
      <c r="Q327" s="234"/>
      <c r="V327" s="32"/>
      <c r="W327" s="32"/>
      <c r="X327" s="32"/>
      <c r="Y327" s="32"/>
      <c r="Z327" s="32"/>
      <c r="AA327" s="32"/>
    </row>
    <row r="328" spans="17:27" x14ac:dyDescent="0.25">
      <c r="Q328" s="234"/>
      <c r="V328" s="32"/>
      <c r="W328" s="32"/>
      <c r="X328" s="32"/>
      <c r="Y328" s="32"/>
      <c r="Z328" s="32"/>
      <c r="AA328" s="32"/>
    </row>
    <row r="329" spans="17:27" x14ac:dyDescent="0.25">
      <c r="Q329" s="234"/>
      <c r="V329" s="32"/>
      <c r="W329" s="32"/>
      <c r="X329" s="32"/>
      <c r="Y329" s="32"/>
      <c r="Z329" s="32"/>
      <c r="AA329" s="32"/>
    </row>
    <row r="330" spans="17:27" x14ac:dyDescent="0.25">
      <c r="Q330" s="234"/>
      <c r="V330" s="32"/>
      <c r="W330" s="32"/>
      <c r="X330" s="32"/>
      <c r="Y330" s="32"/>
      <c r="Z330" s="32"/>
      <c r="AA330" s="32"/>
    </row>
    <row r="331" spans="17:27" x14ac:dyDescent="0.25">
      <c r="Q331" s="234"/>
      <c r="V331" s="32"/>
      <c r="W331" s="32"/>
      <c r="X331" s="32"/>
      <c r="Y331" s="32"/>
      <c r="Z331" s="32"/>
      <c r="AA331" s="32"/>
    </row>
    <row r="332" spans="17:27" x14ac:dyDescent="0.25">
      <c r="Q332" s="234"/>
      <c r="V332" s="32"/>
      <c r="W332" s="32"/>
      <c r="X332" s="32"/>
      <c r="Y332" s="32"/>
      <c r="Z332" s="32"/>
      <c r="AA332" s="32"/>
    </row>
    <row r="333" spans="17:27" x14ac:dyDescent="0.25">
      <c r="Q333" s="234"/>
      <c r="V333" s="32"/>
      <c r="W333" s="32"/>
      <c r="X333" s="32"/>
      <c r="Y333" s="32"/>
      <c r="Z333" s="32"/>
      <c r="AA333" s="32"/>
    </row>
    <row r="334" spans="17:27" x14ac:dyDescent="0.25">
      <c r="Q334" s="234"/>
      <c r="V334" s="32"/>
      <c r="W334" s="32"/>
      <c r="X334" s="32"/>
      <c r="Y334" s="32"/>
      <c r="Z334" s="32"/>
      <c r="AA334" s="32"/>
    </row>
    <row r="335" spans="17:27" x14ac:dyDescent="0.25">
      <c r="Q335" s="234"/>
      <c r="V335" s="32"/>
      <c r="W335" s="32"/>
      <c r="X335" s="32"/>
      <c r="Y335" s="32"/>
      <c r="Z335" s="32"/>
      <c r="AA335" s="32"/>
    </row>
    <row r="336" spans="17:27" x14ac:dyDescent="0.25">
      <c r="Q336" s="234"/>
      <c r="V336" s="32"/>
      <c r="W336" s="32"/>
      <c r="X336" s="32"/>
      <c r="Y336" s="32"/>
      <c r="Z336" s="32"/>
      <c r="AA336" s="32"/>
    </row>
    <row r="337" spans="17:27" x14ac:dyDescent="0.25">
      <c r="Q337" s="234"/>
      <c r="V337" s="32"/>
      <c r="W337" s="32"/>
      <c r="X337" s="32"/>
      <c r="Y337" s="32"/>
      <c r="Z337" s="32"/>
      <c r="AA337" s="32"/>
    </row>
    <row r="338" spans="17:27" x14ac:dyDescent="0.25">
      <c r="Q338" s="234"/>
      <c r="V338" s="32"/>
      <c r="W338" s="32"/>
      <c r="X338" s="32"/>
      <c r="Y338" s="32"/>
      <c r="Z338" s="32"/>
      <c r="AA338" s="32"/>
    </row>
    <row r="339" spans="17:27" x14ac:dyDescent="0.25">
      <c r="Q339" s="234"/>
      <c r="V339" s="32"/>
      <c r="W339" s="32"/>
      <c r="X339" s="32"/>
      <c r="Y339" s="32"/>
      <c r="Z339" s="32"/>
      <c r="AA339" s="32"/>
    </row>
    <row r="340" spans="17:27" x14ac:dyDescent="0.25">
      <c r="Q340" s="234"/>
      <c r="V340" s="32"/>
      <c r="W340" s="32"/>
      <c r="X340" s="32"/>
      <c r="Y340" s="32"/>
      <c r="Z340" s="32"/>
      <c r="AA340" s="32"/>
    </row>
    <row r="341" spans="17:27" x14ac:dyDescent="0.25">
      <c r="Q341" s="234"/>
      <c r="V341" s="32"/>
      <c r="W341" s="32"/>
      <c r="X341" s="32"/>
      <c r="Y341" s="32"/>
      <c r="Z341" s="32"/>
      <c r="AA341" s="32"/>
    </row>
    <row r="342" spans="17:27" x14ac:dyDescent="0.25">
      <c r="Q342" s="234"/>
      <c r="V342" s="32"/>
      <c r="W342" s="32"/>
      <c r="X342" s="32"/>
      <c r="Y342" s="32"/>
      <c r="Z342" s="32"/>
      <c r="AA342" s="32"/>
    </row>
    <row r="343" spans="17:27" x14ac:dyDescent="0.25">
      <c r="Q343" s="234"/>
      <c r="V343" s="32"/>
      <c r="W343" s="32"/>
      <c r="X343" s="32"/>
      <c r="Y343" s="32"/>
      <c r="Z343" s="32"/>
      <c r="AA343" s="32"/>
    </row>
    <row r="344" spans="17:27" x14ac:dyDescent="0.25">
      <c r="Q344" s="234"/>
      <c r="V344" s="32"/>
      <c r="W344" s="32"/>
      <c r="X344" s="32"/>
      <c r="Y344" s="32"/>
      <c r="Z344" s="32"/>
      <c r="AA344" s="32"/>
    </row>
    <row r="345" spans="17:27" x14ac:dyDescent="0.25">
      <c r="Q345" s="234"/>
      <c r="V345" s="32"/>
      <c r="W345" s="32"/>
      <c r="X345" s="32"/>
      <c r="Y345" s="32"/>
      <c r="Z345" s="32"/>
      <c r="AA345" s="32"/>
    </row>
    <row r="346" spans="17:27" x14ac:dyDescent="0.25">
      <c r="Q346" s="234"/>
      <c r="V346" s="32"/>
      <c r="W346" s="32"/>
      <c r="X346" s="32"/>
      <c r="Y346" s="32"/>
      <c r="Z346" s="32"/>
      <c r="AA346" s="32"/>
    </row>
    <row r="347" spans="17:27" x14ac:dyDescent="0.25">
      <c r="Q347" s="234"/>
      <c r="V347" s="32"/>
      <c r="W347" s="32"/>
      <c r="X347" s="32"/>
      <c r="Y347" s="32"/>
      <c r="Z347" s="32"/>
      <c r="AA347" s="32"/>
    </row>
    <row r="348" spans="17:27" x14ac:dyDescent="0.25">
      <c r="Q348" s="234"/>
      <c r="V348" s="32"/>
      <c r="W348" s="32"/>
      <c r="X348" s="32"/>
      <c r="Y348" s="32"/>
      <c r="Z348" s="32"/>
      <c r="AA348" s="32"/>
    </row>
    <row r="349" spans="17:27" x14ac:dyDescent="0.25">
      <c r="Q349" s="234"/>
      <c r="V349" s="32"/>
      <c r="W349" s="32"/>
      <c r="X349" s="32"/>
      <c r="Y349" s="32"/>
      <c r="Z349" s="32"/>
      <c r="AA349" s="32"/>
    </row>
    <row r="350" spans="17:27" x14ac:dyDescent="0.25">
      <c r="Q350" s="234"/>
      <c r="V350" s="32"/>
      <c r="W350" s="32"/>
      <c r="X350" s="32"/>
      <c r="Y350" s="32"/>
      <c r="Z350" s="32"/>
      <c r="AA350" s="32"/>
    </row>
    <row r="351" spans="17:27" x14ac:dyDescent="0.25">
      <c r="Q351" s="234"/>
      <c r="V351" s="32"/>
      <c r="W351" s="32"/>
      <c r="X351" s="32"/>
      <c r="Y351" s="32"/>
      <c r="Z351" s="32"/>
      <c r="AA351" s="32"/>
    </row>
    <row r="352" spans="17:27" x14ac:dyDescent="0.25">
      <c r="Q352" s="234"/>
      <c r="V352" s="32"/>
      <c r="W352" s="32"/>
      <c r="X352" s="32"/>
      <c r="Y352" s="32"/>
      <c r="Z352" s="32"/>
      <c r="AA352" s="32"/>
    </row>
    <row r="353" spans="17:27" x14ac:dyDescent="0.25">
      <c r="Q353" s="234"/>
      <c r="V353" s="32"/>
      <c r="W353" s="32"/>
      <c r="X353" s="32"/>
      <c r="Y353" s="32"/>
      <c r="Z353" s="32"/>
      <c r="AA353" s="32"/>
    </row>
    <row r="354" spans="17:27" x14ac:dyDescent="0.25">
      <c r="Q354" s="234"/>
      <c r="V354" s="32"/>
      <c r="W354" s="32"/>
      <c r="X354" s="32"/>
      <c r="Y354" s="32"/>
      <c r="Z354" s="32"/>
      <c r="AA354" s="32"/>
    </row>
    <row r="355" spans="17:27" x14ac:dyDescent="0.25">
      <c r="Q355" s="234"/>
      <c r="V355" s="32"/>
      <c r="W355" s="32"/>
      <c r="X355" s="32"/>
      <c r="Y355" s="32"/>
      <c r="Z355" s="32"/>
      <c r="AA355" s="32"/>
    </row>
    <row r="356" spans="17:27" x14ac:dyDescent="0.25">
      <c r="Q356" s="234"/>
      <c r="V356" s="32"/>
      <c r="W356" s="32"/>
      <c r="X356" s="32"/>
      <c r="Y356" s="32"/>
      <c r="Z356" s="32"/>
      <c r="AA356" s="32"/>
    </row>
    <row r="357" spans="17:27" x14ac:dyDescent="0.25">
      <c r="Q357" s="234"/>
      <c r="V357" s="32"/>
      <c r="W357" s="32"/>
      <c r="X357" s="32"/>
      <c r="Y357" s="32"/>
      <c r="Z357" s="32"/>
      <c r="AA357" s="32"/>
    </row>
    <row r="358" spans="17:27" x14ac:dyDescent="0.25">
      <c r="Q358" s="234"/>
      <c r="V358" s="32"/>
      <c r="W358" s="32"/>
      <c r="X358" s="32"/>
      <c r="Y358" s="32"/>
      <c r="Z358" s="32"/>
      <c r="AA358" s="32"/>
    </row>
    <row r="359" spans="17:27" x14ac:dyDescent="0.25">
      <c r="Q359" s="234"/>
      <c r="V359" s="32"/>
      <c r="W359" s="32"/>
      <c r="X359" s="32"/>
      <c r="Y359" s="32"/>
      <c r="Z359" s="32"/>
      <c r="AA359" s="32"/>
    </row>
    <row r="360" spans="17:27" x14ac:dyDescent="0.25">
      <c r="Q360" s="234"/>
      <c r="V360" s="32"/>
      <c r="W360" s="32"/>
      <c r="X360" s="32"/>
      <c r="Y360" s="32"/>
      <c r="Z360" s="32"/>
      <c r="AA360" s="32"/>
    </row>
    <row r="361" spans="17:27" x14ac:dyDescent="0.25">
      <c r="Q361" s="234"/>
      <c r="V361" s="32"/>
      <c r="W361" s="32"/>
      <c r="X361" s="32"/>
      <c r="Y361" s="32"/>
      <c r="Z361" s="32"/>
      <c r="AA361" s="32"/>
    </row>
    <row r="362" spans="17:27" x14ac:dyDescent="0.25">
      <c r="Q362" s="234"/>
      <c r="V362" s="32"/>
      <c r="W362" s="32"/>
      <c r="X362" s="32"/>
      <c r="Y362" s="32"/>
      <c r="Z362" s="32"/>
      <c r="AA362" s="32"/>
    </row>
    <row r="363" spans="17:27" x14ac:dyDescent="0.25">
      <c r="Q363" s="234"/>
      <c r="V363" s="32"/>
      <c r="W363" s="32"/>
      <c r="X363" s="32"/>
      <c r="Y363" s="32"/>
      <c r="Z363" s="32"/>
      <c r="AA363" s="32"/>
    </row>
    <row r="364" spans="17:27" x14ac:dyDescent="0.25">
      <c r="Q364" s="234"/>
      <c r="V364" s="32"/>
      <c r="W364" s="32"/>
      <c r="X364" s="32"/>
      <c r="Y364" s="32"/>
      <c r="Z364" s="32"/>
      <c r="AA364" s="32"/>
    </row>
    <row r="365" spans="17:27" x14ac:dyDescent="0.25">
      <c r="Q365" s="234"/>
      <c r="V365" s="32"/>
      <c r="W365" s="32"/>
      <c r="X365" s="32"/>
      <c r="Y365" s="32"/>
      <c r="Z365" s="32"/>
      <c r="AA365" s="32"/>
    </row>
    <row r="366" spans="17:27" x14ac:dyDescent="0.25">
      <c r="Q366" s="234"/>
      <c r="V366" s="32"/>
      <c r="W366" s="32"/>
      <c r="X366" s="32"/>
      <c r="Y366" s="32"/>
      <c r="Z366" s="32"/>
      <c r="AA366" s="32"/>
    </row>
    <row r="367" spans="17:27" x14ac:dyDescent="0.25">
      <c r="Q367" s="234"/>
      <c r="V367" s="32"/>
      <c r="W367" s="32"/>
      <c r="X367" s="32"/>
      <c r="Y367" s="32"/>
      <c r="Z367" s="32"/>
      <c r="AA367" s="32"/>
    </row>
    <row r="368" spans="17:27" x14ac:dyDescent="0.25">
      <c r="Q368" s="234"/>
      <c r="V368" s="32"/>
      <c r="W368" s="32"/>
      <c r="X368" s="32"/>
      <c r="Y368" s="32"/>
      <c r="Z368" s="32"/>
      <c r="AA368" s="32"/>
    </row>
    <row r="369" spans="17:27" x14ac:dyDescent="0.25">
      <c r="Q369" s="234"/>
      <c r="V369" s="32"/>
      <c r="W369" s="32"/>
      <c r="X369" s="32"/>
      <c r="Y369" s="32"/>
      <c r="Z369" s="32"/>
      <c r="AA369" s="32"/>
    </row>
    <row r="370" spans="17:27" x14ac:dyDescent="0.25">
      <c r="Q370" s="234"/>
      <c r="V370" s="32"/>
      <c r="W370" s="32"/>
      <c r="X370" s="32"/>
      <c r="Y370" s="32"/>
      <c r="Z370" s="32"/>
      <c r="AA370" s="32"/>
    </row>
    <row r="371" spans="17:27" x14ac:dyDescent="0.25">
      <c r="Q371" s="234"/>
      <c r="V371" s="32"/>
      <c r="W371" s="32"/>
      <c r="X371" s="32"/>
      <c r="Y371" s="32"/>
      <c r="Z371" s="32"/>
      <c r="AA371" s="32"/>
    </row>
    <row r="372" spans="17:27" x14ac:dyDescent="0.25">
      <c r="Q372" s="234"/>
      <c r="V372" s="32"/>
      <c r="W372" s="32"/>
      <c r="X372" s="32"/>
      <c r="Y372" s="32"/>
      <c r="Z372" s="32"/>
      <c r="AA372" s="32"/>
    </row>
    <row r="373" spans="17:27" x14ac:dyDescent="0.25">
      <c r="Q373" s="234"/>
      <c r="V373" s="32"/>
      <c r="W373" s="32"/>
      <c r="X373" s="32"/>
      <c r="Y373" s="32"/>
      <c r="Z373" s="32"/>
      <c r="AA373" s="32"/>
    </row>
    <row r="374" spans="17:27" x14ac:dyDescent="0.25">
      <c r="Q374" s="234"/>
      <c r="V374" s="32"/>
      <c r="W374" s="32"/>
      <c r="X374" s="32"/>
      <c r="Y374" s="32"/>
      <c r="Z374" s="32"/>
      <c r="AA374" s="32"/>
    </row>
    <row r="375" spans="17:27" x14ac:dyDescent="0.25">
      <c r="Q375" s="234"/>
      <c r="V375" s="32"/>
      <c r="W375" s="32"/>
      <c r="X375" s="32"/>
      <c r="Y375" s="32"/>
      <c r="Z375" s="32"/>
      <c r="AA375" s="32"/>
    </row>
    <row r="376" spans="17:27" x14ac:dyDescent="0.25">
      <c r="Q376" s="234"/>
      <c r="V376" s="32"/>
      <c r="W376" s="32"/>
      <c r="X376" s="32"/>
      <c r="Y376" s="32"/>
      <c r="Z376" s="32"/>
      <c r="AA376" s="32"/>
    </row>
    <row r="377" spans="17:27" x14ac:dyDescent="0.25">
      <c r="Q377" s="234"/>
      <c r="V377" s="32"/>
      <c r="W377" s="32"/>
      <c r="X377" s="32"/>
      <c r="Y377" s="32"/>
      <c r="Z377" s="32"/>
      <c r="AA377" s="32"/>
    </row>
    <row r="378" spans="17:27" x14ac:dyDescent="0.25">
      <c r="Q378" s="234"/>
      <c r="V378" s="32"/>
      <c r="W378" s="32"/>
      <c r="X378" s="32"/>
      <c r="Y378" s="32"/>
      <c r="Z378" s="32"/>
      <c r="AA378" s="32"/>
    </row>
    <row r="379" spans="17:27" x14ac:dyDescent="0.25">
      <c r="Q379" s="234"/>
      <c r="V379" s="32"/>
      <c r="W379" s="32"/>
      <c r="X379" s="32"/>
      <c r="Y379" s="32"/>
      <c r="Z379" s="32"/>
      <c r="AA379" s="32"/>
    </row>
    <row r="380" spans="17:27" x14ac:dyDescent="0.25">
      <c r="Q380" s="234"/>
      <c r="V380" s="32"/>
      <c r="W380" s="32"/>
      <c r="X380" s="32"/>
      <c r="Y380" s="32"/>
      <c r="Z380" s="32"/>
      <c r="AA380" s="32"/>
    </row>
    <row r="381" spans="17:27" x14ac:dyDescent="0.25">
      <c r="Q381" s="234"/>
      <c r="V381" s="32"/>
      <c r="W381" s="32"/>
      <c r="X381" s="32"/>
      <c r="Y381" s="32"/>
      <c r="Z381" s="32"/>
      <c r="AA381" s="32"/>
    </row>
    <row r="382" spans="17:27" x14ac:dyDescent="0.25">
      <c r="Q382" s="234"/>
      <c r="V382" s="32"/>
      <c r="W382" s="32"/>
      <c r="X382" s="32"/>
      <c r="Y382" s="32"/>
      <c r="Z382" s="32"/>
      <c r="AA382" s="32"/>
    </row>
    <row r="383" spans="17:27" x14ac:dyDescent="0.25">
      <c r="Q383" s="234"/>
      <c r="V383" s="32"/>
      <c r="W383" s="32"/>
      <c r="X383" s="32"/>
      <c r="Y383" s="32"/>
      <c r="Z383" s="32"/>
      <c r="AA383" s="32"/>
    </row>
    <row r="384" spans="17:27" x14ac:dyDescent="0.25">
      <c r="Q384" s="234"/>
      <c r="V384" s="32"/>
      <c r="W384" s="32"/>
      <c r="X384" s="32"/>
      <c r="Y384" s="32"/>
      <c r="Z384" s="32"/>
      <c r="AA384" s="32"/>
    </row>
    <row r="385" spans="17:27" x14ac:dyDescent="0.25">
      <c r="Q385" s="234"/>
      <c r="V385" s="32"/>
      <c r="W385" s="32"/>
      <c r="X385" s="32"/>
      <c r="Y385" s="32"/>
      <c r="Z385" s="32"/>
      <c r="AA385" s="32"/>
    </row>
    <row r="386" spans="17:27" x14ac:dyDescent="0.25">
      <c r="Q386" s="234"/>
      <c r="V386" s="32"/>
      <c r="W386" s="32"/>
      <c r="X386" s="32"/>
      <c r="Y386" s="32"/>
      <c r="Z386" s="32"/>
      <c r="AA386" s="32"/>
    </row>
    <row r="387" spans="17:27" x14ac:dyDescent="0.25">
      <c r="Q387" s="234"/>
      <c r="V387" s="32"/>
      <c r="W387" s="32"/>
      <c r="X387" s="32"/>
      <c r="Y387" s="32"/>
      <c r="Z387" s="32"/>
      <c r="AA387" s="32"/>
    </row>
    <row r="388" spans="17:27" x14ac:dyDescent="0.25">
      <c r="Q388" s="234"/>
      <c r="V388" s="32"/>
      <c r="W388" s="32"/>
      <c r="X388" s="32"/>
      <c r="Y388" s="32"/>
      <c r="Z388" s="32"/>
      <c r="AA388" s="32"/>
    </row>
    <row r="389" spans="17:27" x14ac:dyDescent="0.25">
      <c r="Q389" s="234"/>
      <c r="V389" s="32"/>
      <c r="W389" s="32"/>
      <c r="X389" s="32"/>
      <c r="Y389" s="32"/>
      <c r="Z389" s="32"/>
      <c r="AA389" s="32"/>
    </row>
    <row r="390" spans="17:27" x14ac:dyDescent="0.25">
      <c r="Q390" s="234"/>
      <c r="V390" s="32"/>
      <c r="W390" s="32"/>
      <c r="X390" s="32"/>
      <c r="Y390" s="32"/>
      <c r="Z390" s="32"/>
      <c r="AA390" s="32"/>
    </row>
    <row r="391" spans="17:27" x14ac:dyDescent="0.25">
      <c r="Q391" s="234"/>
      <c r="V391" s="32"/>
      <c r="W391" s="32"/>
      <c r="X391" s="32"/>
      <c r="Y391" s="32"/>
      <c r="Z391" s="32"/>
      <c r="AA391" s="32"/>
    </row>
    <row r="392" spans="17:27" x14ac:dyDescent="0.25">
      <c r="Q392" s="234"/>
      <c r="V392" s="32"/>
      <c r="W392" s="32"/>
      <c r="X392" s="32"/>
      <c r="Y392" s="32"/>
      <c r="Z392" s="32"/>
      <c r="AA392" s="32"/>
    </row>
    <row r="393" spans="17:27" x14ac:dyDescent="0.25">
      <c r="Q393" s="234"/>
      <c r="V393" s="32"/>
      <c r="W393" s="32"/>
      <c r="X393" s="32"/>
      <c r="Y393" s="32"/>
      <c r="Z393" s="32"/>
      <c r="AA393" s="32"/>
    </row>
    <row r="394" spans="17:27" x14ac:dyDescent="0.25">
      <c r="Q394" s="234"/>
      <c r="V394" s="32"/>
      <c r="W394" s="32"/>
      <c r="X394" s="32"/>
      <c r="Y394" s="32"/>
      <c r="Z394" s="32"/>
      <c r="AA394" s="32"/>
    </row>
    <row r="395" spans="17:27" x14ac:dyDescent="0.25">
      <c r="Q395" s="234"/>
      <c r="V395" s="32"/>
      <c r="W395" s="32"/>
      <c r="X395" s="32"/>
      <c r="Y395" s="32"/>
      <c r="Z395" s="32"/>
      <c r="AA395" s="32"/>
    </row>
    <row r="396" spans="17:27" x14ac:dyDescent="0.25">
      <c r="Q396" s="234"/>
      <c r="V396" s="32"/>
      <c r="W396" s="32"/>
      <c r="X396" s="32"/>
      <c r="Y396" s="32"/>
      <c r="Z396" s="32"/>
      <c r="AA396" s="32"/>
    </row>
    <row r="397" spans="17:27" x14ac:dyDescent="0.25">
      <c r="Q397" s="234"/>
      <c r="V397" s="32"/>
      <c r="W397" s="32"/>
      <c r="X397" s="32"/>
      <c r="Y397" s="32"/>
      <c r="Z397" s="32"/>
      <c r="AA397" s="32"/>
    </row>
    <row r="398" spans="17:27" x14ac:dyDescent="0.25">
      <c r="Q398" s="234"/>
      <c r="V398" s="32"/>
      <c r="W398" s="32"/>
      <c r="X398" s="32"/>
      <c r="Y398" s="32"/>
      <c r="Z398" s="32"/>
      <c r="AA398" s="32"/>
    </row>
    <row r="399" spans="17:27" x14ac:dyDescent="0.25">
      <c r="Q399" s="234"/>
      <c r="V399" s="32"/>
      <c r="W399" s="32"/>
      <c r="X399" s="32"/>
      <c r="Y399" s="32"/>
      <c r="Z399" s="32"/>
      <c r="AA399" s="32"/>
    </row>
    <row r="400" spans="17:27" x14ac:dyDescent="0.25">
      <c r="Q400" s="234"/>
      <c r="V400" s="32"/>
      <c r="W400" s="32"/>
      <c r="X400" s="32"/>
      <c r="Y400" s="32"/>
      <c r="Z400" s="32"/>
      <c r="AA400" s="32"/>
    </row>
    <row r="401" spans="17:27" x14ac:dyDescent="0.25">
      <c r="Q401" s="234"/>
      <c r="V401" s="32"/>
      <c r="W401" s="32"/>
      <c r="X401" s="32"/>
      <c r="Y401" s="32"/>
      <c r="Z401" s="32"/>
      <c r="AA401" s="32"/>
    </row>
    <row r="402" spans="17:27" x14ac:dyDescent="0.25">
      <c r="Q402" s="234"/>
      <c r="V402" s="32"/>
      <c r="W402" s="32"/>
      <c r="X402" s="32"/>
      <c r="Y402" s="32"/>
      <c r="Z402" s="32"/>
      <c r="AA402" s="32"/>
    </row>
    <row r="403" spans="17:27" x14ac:dyDescent="0.25">
      <c r="Q403" s="234"/>
      <c r="V403" s="32"/>
      <c r="W403" s="32"/>
      <c r="X403" s="32"/>
      <c r="Y403" s="32"/>
      <c r="Z403" s="32"/>
      <c r="AA403" s="32"/>
    </row>
    <row r="404" spans="17:27" x14ac:dyDescent="0.25">
      <c r="Q404" s="234"/>
      <c r="V404" s="32"/>
      <c r="W404" s="32"/>
      <c r="X404" s="32"/>
      <c r="Y404" s="32"/>
      <c r="Z404" s="32"/>
      <c r="AA404" s="32"/>
    </row>
    <row r="405" spans="17:27" x14ac:dyDescent="0.25">
      <c r="Q405" s="234"/>
      <c r="V405" s="32"/>
      <c r="W405" s="32"/>
      <c r="X405" s="32"/>
      <c r="Y405" s="32"/>
      <c r="Z405" s="32"/>
      <c r="AA405" s="32"/>
    </row>
    <row r="406" spans="17:27" x14ac:dyDescent="0.25">
      <c r="Q406" s="234"/>
      <c r="V406" s="32"/>
      <c r="W406" s="32"/>
      <c r="X406" s="32"/>
      <c r="Y406" s="32"/>
      <c r="Z406" s="32"/>
      <c r="AA406" s="32"/>
    </row>
    <row r="407" spans="17:27" x14ac:dyDescent="0.25">
      <c r="Q407" s="234"/>
      <c r="V407" s="32"/>
      <c r="W407" s="32"/>
      <c r="X407" s="32"/>
      <c r="Y407" s="32"/>
      <c r="Z407" s="32"/>
      <c r="AA407" s="32"/>
    </row>
    <row r="408" spans="17:27" x14ac:dyDescent="0.25">
      <c r="Q408" s="234"/>
      <c r="V408" s="32"/>
      <c r="W408" s="32"/>
      <c r="X408" s="32"/>
      <c r="Y408" s="32"/>
      <c r="Z408" s="32"/>
      <c r="AA408" s="32"/>
    </row>
    <row r="409" spans="17:27" x14ac:dyDescent="0.25">
      <c r="Q409" s="234"/>
      <c r="V409" s="32"/>
      <c r="W409" s="32"/>
      <c r="X409" s="32"/>
      <c r="Y409" s="32"/>
      <c r="Z409" s="32"/>
      <c r="AA409" s="32"/>
    </row>
    <row r="410" spans="17:27" x14ac:dyDescent="0.25">
      <c r="Q410" s="234"/>
      <c r="V410" s="32"/>
      <c r="W410" s="32"/>
      <c r="X410" s="32"/>
      <c r="Y410" s="32"/>
      <c r="Z410" s="32"/>
      <c r="AA410" s="32"/>
    </row>
    <row r="411" spans="17:27" x14ac:dyDescent="0.25">
      <c r="Q411" s="234"/>
      <c r="V411" s="32"/>
      <c r="W411" s="32"/>
      <c r="X411" s="32"/>
      <c r="Y411" s="32"/>
      <c r="Z411" s="32"/>
      <c r="AA411" s="32"/>
    </row>
    <row r="412" spans="17:27" x14ac:dyDescent="0.25">
      <c r="Q412" s="234"/>
      <c r="V412" s="32"/>
      <c r="W412" s="32"/>
      <c r="X412" s="32"/>
      <c r="Y412" s="32"/>
      <c r="Z412" s="32"/>
      <c r="AA412" s="32"/>
    </row>
    <row r="413" spans="17:27" x14ac:dyDescent="0.25">
      <c r="Q413" s="234"/>
      <c r="V413" s="32"/>
      <c r="W413" s="32"/>
      <c r="X413" s="32"/>
      <c r="Y413" s="32"/>
      <c r="Z413" s="32"/>
      <c r="AA413" s="32"/>
    </row>
    <row r="414" spans="17:27" x14ac:dyDescent="0.25">
      <c r="Q414" s="234"/>
      <c r="V414" s="32"/>
      <c r="W414" s="32"/>
      <c r="X414" s="32"/>
      <c r="Y414" s="32"/>
      <c r="Z414" s="32"/>
      <c r="AA414" s="32"/>
    </row>
    <row r="415" spans="17:27" x14ac:dyDescent="0.25">
      <c r="Q415" s="234"/>
      <c r="V415" s="32"/>
      <c r="W415" s="32"/>
      <c r="X415" s="32"/>
      <c r="Y415" s="32"/>
      <c r="Z415" s="32"/>
      <c r="AA415" s="32"/>
    </row>
    <row r="416" spans="17:27" x14ac:dyDescent="0.25">
      <c r="Q416" s="234"/>
      <c r="V416" s="32"/>
      <c r="W416" s="32"/>
      <c r="X416" s="32"/>
      <c r="Y416" s="32"/>
      <c r="Z416" s="32"/>
      <c r="AA416" s="32"/>
    </row>
    <row r="417" spans="17:27" x14ac:dyDescent="0.25">
      <c r="Q417" s="234"/>
      <c r="V417" s="32"/>
      <c r="W417" s="32"/>
      <c r="X417" s="32"/>
      <c r="Y417" s="32"/>
      <c r="Z417" s="32"/>
      <c r="AA417" s="32"/>
    </row>
    <row r="418" spans="17:27" x14ac:dyDescent="0.25">
      <c r="Q418" s="234"/>
      <c r="V418" s="32"/>
      <c r="W418" s="32"/>
      <c r="X418" s="32"/>
      <c r="Y418" s="32"/>
      <c r="Z418" s="32"/>
      <c r="AA418" s="32"/>
    </row>
    <row r="419" spans="17:27" x14ac:dyDescent="0.25">
      <c r="Q419" s="234"/>
      <c r="V419" s="32"/>
      <c r="W419" s="32"/>
      <c r="X419" s="32"/>
      <c r="Y419" s="32"/>
      <c r="Z419" s="32"/>
      <c r="AA419" s="32"/>
    </row>
    <row r="420" spans="17:27" x14ac:dyDescent="0.25">
      <c r="Q420" s="234"/>
      <c r="V420" s="32"/>
      <c r="W420" s="32"/>
      <c r="X420" s="32"/>
      <c r="Y420" s="32"/>
      <c r="Z420" s="32"/>
      <c r="AA420" s="32"/>
    </row>
    <row r="421" spans="17:27" x14ac:dyDescent="0.25">
      <c r="Q421" s="234"/>
      <c r="V421" s="32"/>
      <c r="W421" s="32"/>
      <c r="X421" s="32"/>
      <c r="Y421" s="32"/>
      <c r="Z421" s="32"/>
      <c r="AA421" s="32"/>
    </row>
    <row r="422" spans="17:27" x14ac:dyDescent="0.25">
      <c r="Q422" s="234"/>
      <c r="V422" s="32"/>
      <c r="W422" s="32"/>
      <c r="X422" s="32"/>
      <c r="Y422" s="32"/>
      <c r="Z422" s="32"/>
      <c r="AA422" s="32"/>
    </row>
    <row r="423" spans="17:27" x14ac:dyDescent="0.25">
      <c r="Q423" s="234"/>
      <c r="V423" s="32"/>
      <c r="W423" s="32"/>
      <c r="X423" s="32"/>
      <c r="Y423" s="32"/>
      <c r="Z423" s="32"/>
      <c r="AA423" s="32"/>
    </row>
    <row r="424" spans="17:27" x14ac:dyDescent="0.25">
      <c r="Q424" s="234"/>
      <c r="V424" s="32"/>
      <c r="W424" s="32"/>
      <c r="X424" s="32"/>
      <c r="Y424" s="32"/>
      <c r="Z424" s="32"/>
      <c r="AA424" s="32"/>
    </row>
    <row r="425" spans="17:27" x14ac:dyDescent="0.25">
      <c r="Q425" s="234"/>
      <c r="V425" s="32"/>
      <c r="W425" s="32"/>
      <c r="X425" s="32"/>
      <c r="Y425" s="32"/>
      <c r="Z425" s="32"/>
      <c r="AA425" s="32"/>
    </row>
    <row r="426" spans="17:27" x14ac:dyDescent="0.25">
      <c r="Q426" s="234"/>
      <c r="V426" s="32"/>
      <c r="W426" s="32"/>
      <c r="X426" s="32"/>
      <c r="Y426" s="32"/>
      <c r="Z426" s="32"/>
      <c r="AA426" s="32"/>
    </row>
    <row r="427" spans="17:27" x14ac:dyDescent="0.25">
      <c r="Q427" s="234"/>
      <c r="V427" s="32"/>
      <c r="W427" s="32"/>
      <c r="X427" s="32"/>
      <c r="Y427" s="32"/>
      <c r="Z427" s="32"/>
      <c r="AA427" s="32"/>
    </row>
    <row r="428" spans="17:27" x14ac:dyDescent="0.25">
      <c r="Q428" s="234"/>
      <c r="V428" s="32"/>
      <c r="W428" s="32"/>
      <c r="X428" s="32"/>
      <c r="Y428" s="32"/>
      <c r="Z428" s="32"/>
      <c r="AA428" s="32"/>
    </row>
    <row r="429" spans="17:27" x14ac:dyDescent="0.25">
      <c r="Q429" s="234"/>
      <c r="V429" s="32"/>
      <c r="W429" s="32"/>
      <c r="X429" s="32"/>
      <c r="Y429" s="32"/>
      <c r="Z429" s="32"/>
      <c r="AA429" s="32"/>
    </row>
    <row r="430" spans="17:27" x14ac:dyDescent="0.25">
      <c r="Q430" s="234"/>
      <c r="V430" s="32"/>
      <c r="W430" s="32"/>
      <c r="X430" s="32"/>
      <c r="Y430" s="32"/>
      <c r="Z430" s="32"/>
      <c r="AA430" s="32"/>
    </row>
    <row r="431" spans="17:27" x14ac:dyDescent="0.25">
      <c r="Q431" s="234"/>
      <c r="V431" s="32"/>
      <c r="W431" s="32"/>
      <c r="X431" s="32"/>
      <c r="Y431" s="32"/>
      <c r="Z431" s="32"/>
      <c r="AA431" s="32"/>
    </row>
    <row r="432" spans="17:27" x14ac:dyDescent="0.25">
      <c r="Q432" s="234"/>
      <c r="V432" s="32"/>
      <c r="W432" s="32"/>
      <c r="X432" s="32"/>
      <c r="Y432" s="32"/>
      <c r="Z432" s="32"/>
      <c r="AA432" s="32"/>
    </row>
    <row r="433" spans="17:27" x14ac:dyDescent="0.25">
      <c r="Q433" s="234"/>
      <c r="V433" s="32"/>
      <c r="W433" s="32"/>
      <c r="X433" s="32"/>
      <c r="Y433" s="32"/>
      <c r="Z433" s="32"/>
      <c r="AA433" s="32"/>
    </row>
    <row r="434" spans="17:27" x14ac:dyDescent="0.25">
      <c r="Q434" s="234"/>
      <c r="V434" s="32"/>
      <c r="W434" s="32"/>
      <c r="X434" s="32"/>
      <c r="Y434" s="32"/>
      <c r="Z434" s="32"/>
      <c r="AA434" s="32"/>
    </row>
    <row r="435" spans="17:27" x14ac:dyDescent="0.25">
      <c r="Q435" s="234"/>
      <c r="V435" s="32"/>
      <c r="W435" s="32"/>
      <c r="X435" s="32"/>
      <c r="Y435" s="32"/>
      <c r="Z435" s="32"/>
      <c r="AA435" s="32"/>
    </row>
    <row r="436" spans="17:27" x14ac:dyDescent="0.25">
      <c r="Q436" s="234"/>
      <c r="V436" s="32"/>
      <c r="W436" s="32"/>
      <c r="X436" s="32"/>
      <c r="Y436" s="32"/>
      <c r="Z436" s="32"/>
      <c r="AA436" s="32"/>
    </row>
    <row r="437" spans="17:27" x14ac:dyDescent="0.25">
      <c r="Q437" s="234"/>
      <c r="V437" s="32"/>
      <c r="W437" s="32"/>
      <c r="X437" s="32"/>
      <c r="Y437" s="32"/>
      <c r="Z437" s="32"/>
      <c r="AA437" s="32"/>
    </row>
    <row r="438" spans="17:27" x14ac:dyDescent="0.25">
      <c r="Q438" s="234"/>
      <c r="V438" s="32"/>
      <c r="W438" s="32"/>
      <c r="X438" s="32"/>
      <c r="Y438" s="32"/>
      <c r="Z438" s="32"/>
      <c r="AA438" s="32"/>
    </row>
    <row r="439" spans="17:27" x14ac:dyDescent="0.25">
      <c r="Q439" s="234"/>
      <c r="V439" s="32"/>
      <c r="W439" s="32"/>
      <c r="X439" s="32"/>
      <c r="Y439" s="32"/>
      <c r="Z439" s="32"/>
      <c r="AA439" s="32"/>
    </row>
    <row r="440" spans="17:27" x14ac:dyDescent="0.25">
      <c r="Q440" s="234"/>
      <c r="V440" s="32"/>
      <c r="W440" s="32"/>
      <c r="X440" s="32"/>
      <c r="Y440" s="32"/>
      <c r="Z440" s="32"/>
      <c r="AA440" s="32"/>
    </row>
    <row r="441" spans="17:27" x14ac:dyDescent="0.25">
      <c r="Q441" s="234"/>
      <c r="V441" s="32"/>
      <c r="W441" s="32"/>
      <c r="X441" s="32"/>
      <c r="Y441" s="32"/>
      <c r="Z441" s="32"/>
      <c r="AA441" s="32"/>
    </row>
    <row r="442" spans="17:27" x14ac:dyDescent="0.25">
      <c r="Q442" s="234"/>
      <c r="V442" s="32"/>
      <c r="W442" s="32"/>
      <c r="X442" s="32"/>
      <c r="Y442" s="32"/>
      <c r="Z442" s="32"/>
      <c r="AA442" s="32"/>
    </row>
    <row r="443" spans="17:27" x14ac:dyDescent="0.25">
      <c r="Q443" s="234"/>
      <c r="V443" s="32"/>
      <c r="W443" s="32"/>
      <c r="X443" s="32"/>
      <c r="Y443" s="32"/>
      <c r="Z443" s="32"/>
      <c r="AA443" s="32"/>
    </row>
    <row r="444" spans="17:27" x14ac:dyDescent="0.25">
      <c r="Q444" s="234"/>
      <c r="V444" s="32"/>
      <c r="W444" s="32"/>
      <c r="X444" s="32"/>
      <c r="Y444" s="32"/>
      <c r="Z444" s="32"/>
      <c r="AA444" s="32"/>
    </row>
    <row r="445" spans="17:27" x14ac:dyDescent="0.25">
      <c r="Q445" s="234"/>
      <c r="V445" s="32"/>
      <c r="W445" s="32"/>
      <c r="X445" s="32"/>
      <c r="Y445" s="32"/>
      <c r="Z445" s="32"/>
      <c r="AA445" s="32"/>
    </row>
    <row r="446" spans="17:27" x14ac:dyDescent="0.25">
      <c r="Q446" s="234"/>
      <c r="V446" s="32"/>
      <c r="W446" s="32"/>
      <c r="X446" s="32"/>
      <c r="Y446" s="32"/>
      <c r="Z446" s="32"/>
      <c r="AA446" s="32"/>
    </row>
    <row r="447" spans="17:27" x14ac:dyDescent="0.25">
      <c r="Q447" s="234"/>
      <c r="V447" s="32"/>
      <c r="W447" s="32"/>
      <c r="X447" s="32"/>
      <c r="Y447" s="32"/>
      <c r="Z447" s="32"/>
      <c r="AA447" s="32"/>
    </row>
    <row r="448" spans="17:27" x14ac:dyDescent="0.25">
      <c r="Q448" s="234"/>
      <c r="V448" s="32"/>
      <c r="W448" s="32"/>
      <c r="X448" s="32"/>
      <c r="Y448" s="32"/>
      <c r="Z448" s="32"/>
      <c r="AA448" s="32"/>
    </row>
    <row r="449" spans="17:27" x14ac:dyDescent="0.25">
      <c r="Q449" s="234"/>
      <c r="V449" s="32"/>
      <c r="W449" s="32"/>
      <c r="X449" s="32"/>
      <c r="Y449" s="32"/>
      <c r="Z449" s="32"/>
      <c r="AA449" s="32"/>
    </row>
    <row r="450" spans="17:27" x14ac:dyDescent="0.25">
      <c r="Q450" s="234"/>
      <c r="V450" s="32"/>
      <c r="W450" s="32"/>
      <c r="X450" s="32"/>
      <c r="Y450" s="32"/>
      <c r="Z450" s="32"/>
      <c r="AA450" s="32"/>
    </row>
    <row r="451" spans="17:27" x14ac:dyDescent="0.25">
      <c r="Q451" s="234"/>
      <c r="V451" s="32"/>
      <c r="W451" s="32"/>
      <c r="X451" s="32"/>
      <c r="Y451" s="32"/>
      <c r="Z451" s="32"/>
      <c r="AA451" s="32"/>
    </row>
    <row r="452" spans="17:27" x14ac:dyDescent="0.25">
      <c r="Q452" s="234"/>
      <c r="V452" s="32"/>
      <c r="W452" s="32"/>
      <c r="X452" s="32"/>
      <c r="Y452" s="32"/>
      <c r="Z452" s="32"/>
      <c r="AA452" s="32"/>
    </row>
    <row r="453" spans="17:27" x14ac:dyDescent="0.25">
      <c r="Q453" s="234"/>
      <c r="V453" s="32"/>
      <c r="W453" s="32"/>
      <c r="X453" s="32"/>
      <c r="Y453" s="32"/>
      <c r="Z453" s="32"/>
      <c r="AA453" s="32"/>
    </row>
    <row r="454" spans="17:27" x14ac:dyDescent="0.25">
      <c r="Q454" s="234"/>
      <c r="V454" s="32"/>
      <c r="W454" s="32"/>
      <c r="X454" s="32"/>
      <c r="Y454" s="32"/>
      <c r="Z454" s="32"/>
      <c r="AA454" s="32"/>
    </row>
    <row r="455" spans="17:27" x14ac:dyDescent="0.25">
      <c r="Q455" s="234"/>
      <c r="V455" s="32"/>
      <c r="W455" s="32"/>
      <c r="X455" s="32"/>
      <c r="Y455" s="32"/>
      <c r="Z455" s="32"/>
      <c r="AA455" s="32"/>
    </row>
    <row r="456" spans="17:27" x14ac:dyDescent="0.25">
      <c r="Q456" s="234"/>
      <c r="V456" s="32"/>
      <c r="W456" s="32"/>
      <c r="X456" s="32"/>
      <c r="Y456" s="32"/>
      <c r="Z456" s="32"/>
      <c r="AA456" s="32"/>
    </row>
    <row r="457" spans="17:27" x14ac:dyDescent="0.25">
      <c r="Q457" s="234"/>
      <c r="V457" s="32"/>
      <c r="W457" s="32"/>
      <c r="X457" s="32"/>
      <c r="Y457" s="32"/>
      <c r="Z457" s="32"/>
      <c r="AA457" s="32"/>
    </row>
    <row r="458" spans="17:27" x14ac:dyDescent="0.25">
      <c r="Q458" s="234"/>
      <c r="V458" s="32"/>
      <c r="W458" s="32"/>
      <c r="X458" s="32"/>
      <c r="Y458" s="32"/>
      <c r="Z458" s="32"/>
      <c r="AA458" s="32"/>
    </row>
    <row r="459" spans="17:27" x14ac:dyDescent="0.25">
      <c r="Q459" s="234"/>
      <c r="V459" s="32"/>
      <c r="W459" s="32"/>
      <c r="X459" s="32"/>
      <c r="Y459" s="32"/>
      <c r="Z459" s="32"/>
      <c r="AA459" s="32"/>
    </row>
    <row r="460" spans="17:27" x14ac:dyDescent="0.25">
      <c r="Q460" s="234"/>
      <c r="V460" s="32"/>
      <c r="W460" s="32"/>
      <c r="X460" s="32"/>
      <c r="Y460" s="32"/>
      <c r="Z460" s="32"/>
      <c r="AA460" s="32"/>
    </row>
    <row r="461" spans="17:27" x14ac:dyDescent="0.25">
      <c r="Q461" s="234"/>
      <c r="V461" s="32"/>
      <c r="W461" s="32"/>
      <c r="X461" s="32"/>
      <c r="Y461" s="32"/>
      <c r="Z461" s="32"/>
      <c r="AA461" s="32"/>
    </row>
    <row r="462" spans="17:27" x14ac:dyDescent="0.25">
      <c r="Q462" s="234"/>
      <c r="V462" s="32"/>
      <c r="W462" s="32"/>
      <c r="X462" s="32"/>
      <c r="Y462" s="32"/>
      <c r="Z462" s="32"/>
      <c r="AA462" s="32"/>
    </row>
    <row r="463" spans="17:27" x14ac:dyDescent="0.25">
      <c r="Q463" s="234"/>
      <c r="V463" s="32"/>
      <c r="W463" s="32"/>
      <c r="X463" s="32"/>
      <c r="Y463" s="32"/>
      <c r="Z463" s="32"/>
      <c r="AA463" s="32"/>
    </row>
    <row r="464" spans="17:27" x14ac:dyDescent="0.25">
      <c r="Q464" s="234"/>
      <c r="V464" s="32"/>
      <c r="W464" s="32"/>
      <c r="X464" s="32"/>
      <c r="Y464" s="32"/>
      <c r="Z464" s="32"/>
      <c r="AA464" s="32"/>
    </row>
    <row r="465" spans="17:27" x14ac:dyDescent="0.25">
      <c r="Q465" s="234"/>
      <c r="V465" s="32"/>
      <c r="W465" s="32"/>
      <c r="X465" s="32"/>
      <c r="Y465" s="32"/>
      <c r="Z465" s="32"/>
      <c r="AA465" s="32"/>
    </row>
    <row r="466" spans="17:27" x14ac:dyDescent="0.25">
      <c r="Q466" s="234"/>
      <c r="V466" s="32"/>
      <c r="W466" s="32"/>
      <c r="X466" s="32"/>
      <c r="Y466" s="32"/>
      <c r="Z466" s="32"/>
      <c r="AA466" s="32"/>
    </row>
    <row r="467" spans="17:27" x14ac:dyDescent="0.25">
      <c r="Q467" s="234"/>
      <c r="V467" s="32"/>
      <c r="W467" s="32"/>
      <c r="X467" s="32"/>
      <c r="Y467" s="32"/>
      <c r="Z467" s="32"/>
      <c r="AA467" s="32"/>
    </row>
    <row r="468" spans="17:27" x14ac:dyDescent="0.25">
      <c r="Q468" s="234"/>
      <c r="V468" s="32"/>
      <c r="W468" s="32"/>
      <c r="X468" s="32"/>
      <c r="Y468" s="32"/>
      <c r="Z468" s="32"/>
      <c r="AA468" s="32"/>
    </row>
    <row r="469" spans="17:27" x14ac:dyDescent="0.25">
      <c r="Q469" s="234"/>
      <c r="V469" s="32"/>
      <c r="W469" s="32"/>
      <c r="X469" s="32"/>
      <c r="Y469" s="32"/>
      <c r="Z469" s="32"/>
      <c r="AA469" s="32"/>
    </row>
    <row r="470" spans="17:27" x14ac:dyDescent="0.25">
      <c r="Q470" s="234"/>
      <c r="V470" s="32"/>
      <c r="W470" s="32"/>
      <c r="X470" s="32"/>
      <c r="Y470" s="32"/>
      <c r="Z470" s="32"/>
      <c r="AA470" s="32"/>
    </row>
    <row r="471" spans="17:27" x14ac:dyDescent="0.25">
      <c r="Q471" s="234"/>
      <c r="V471" s="32"/>
      <c r="W471" s="32"/>
      <c r="X471" s="32"/>
      <c r="Y471" s="32"/>
      <c r="Z471" s="32"/>
      <c r="AA471" s="32"/>
    </row>
    <row r="472" spans="17:27" x14ac:dyDescent="0.25">
      <c r="Q472" s="234"/>
      <c r="V472" s="32"/>
      <c r="W472" s="32"/>
      <c r="X472" s="32"/>
      <c r="Y472" s="32"/>
      <c r="Z472" s="32"/>
      <c r="AA472" s="32"/>
    </row>
    <row r="473" spans="17:27" x14ac:dyDescent="0.25">
      <c r="Q473" s="234"/>
      <c r="V473" s="32"/>
      <c r="W473" s="32"/>
      <c r="X473" s="32"/>
      <c r="Y473" s="32"/>
      <c r="Z473" s="32"/>
      <c r="AA473" s="32"/>
    </row>
    <row r="474" spans="17:27" x14ac:dyDescent="0.25">
      <c r="Q474" s="234"/>
      <c r="V474" s="32"/>
      <c r="W474" s="32"/>
      <c r="X474" s="32"/>
      <c r="Y474" s="32"/>
      <c r="Z474" s="32"/>
      <c r="AA474" s="32"/>
    </row>
    <row r="475" spans="17:27" x14ac:dyDescent="0.25">
      <c r="Q475" s="234"/>
      <c r="V475" s="32"/>
      <c r="W475" s="32"/>
      <c r="X475" s="32"/>
      <c r="Y475" s="32"/>
      <c r="Z475" s="32"/>
      <c r="AA475" s="32"/>
    </row>
    <row r="476" spans="17:27" x14ac:dyDescent="0.25">
      <c r="Q476" s="234"/>
      <c r="V476" s="32"/>
      <c r="W476" s="32"/>
      <c r="X476" s="32"/>
      <c r="Y476" s="32"/>
      <c r="Z476" s="32"/>
      <c r="AA476" s="32"/>
    </row>
    <row r="477" spans="17:27" x14ac:dyDescent="0.25">
      <c r="Q477" s="234"/>
      <c r="V477" s="32"/>
      <c r="W477" s="32"/>
      <c r="X477" s="32"/>
      <c r="Y477" s="32"/>
      <c r="Z477" s="32"/>
      <c r="AA477" s="32"/>
    </row>
    <row r="478" spans="17:27" x14ac:dyDescent="0.25">
      <c r="Q478" s="234"/>
      <c r="V478" s="32"/>
      <c r="W478" s="32"/>
      <c r="X478" s="32"/>
      <c r="Y478" s="32"/>
      <c r="Z478" s="32"/>
      <c r="AA478" s="32"/>
    </row>
    <row r="479" spans="17:27" x14ac:dyDescent="0.25">
      <c r="Q479" s="234"/>
      <c r="V479" s="32"/>
      <c r="W479" s="32"/>
      <c r="X479" s="32"/>
      <c r="Y479" s="32"/>
      <c r="Z479" s="32"/>
      <c r="AA479" s="32"/>
    </row>
    <row r="480" spans="17:27" x14ac:dyDescent="0.25">
      <c r="Q480" s="234"/>
      <c r="V480" s="32"/>
      <c r="W480" s="32"/>
      <c r="X480" s="32"/>
      <c r="Y480" s="32"/>
      <c r="Z480" s="32"/>
      <c r="AA480" s="32"/>
    </row>
    <row r="481" spans="17:27" x14ac:dyDescent="0.25">
      <c r="Q481" s="234"/>
      <c r="V481" s="32"/>
      <c r="W481" s="32"/>
      <c r="X481" s="32"/>
      <c r="Y481" s="32"/>
      <c r="Z481" s="32"/>
      <c r="AA481" s="32"/>
    </row>
    <row r="482" spans="17:27" x14ac:dyDescent="0.25">
      <c r="Q482" s="234"/>
      <c r="V482" s="32"/>
      <c r="W482" s="32"/>
      <c r="X482" s="32"/>
      <c r="Y482" s="32"/>
      <c r="Z482" s="32"/>
      <c r="AA482" s="32"/>
    </row>
    <row r="483" spans="17:27" x14ac:dyDescent="0.25">
      <c r="Q483" s="234"/>
      <c r="V483" s="32"/>
      <c r="W483" s="32"/>
      <c r="X483" s="32"/>
      <c r="Y483" s="32"/>
      <c r="Z483" s="32"/>
      <c r="AA483" s="32"/>
    </row>
    <row r="484" spans="17:27" x14ac:dyDescent="0.25">
      <c r="Q484" s="234"/>
      <c r="V484" s="32"/>
      <c r="W484" s="32"/>
      <c r="X484" s="32"/>
      <c r="Y484" s="32"/>
      <c r="Z484" s="32"/>
      <c r="AA484" s="32"/>
    </row>
    <row r="485" spans="17:27" x14ac:dyDescent="0.25">
      <c r="Q485" s="234"/>
      <c r="V485" s="32"/>
      <c r="W485" s="32"/>
      <c r="X485" s="32"/>
      <c r="Y485" s="32"/>
      <c r="Z485" s="32"/>
      <c r="AA485" s="32"/>
    </row>
    <row r="486" spans="17:27" x14ac:dyDescent="0.25">
      <c r="Q486" s="234"/>
      <c r="V486" s="32"/>
      <c r="W486" s="32"/>
      <c r="X486" s="32"/>
      <c r="Y486" s="32"/>
      <c r="Z486" s="32"/>
      <c r="AA486" s="32"/>
    </row>
    <row r="487" spans="17:27" x14ac:dyDescent="0.25">
      <c r="Q487" s="234"/>
      <c r="V487" s="32"/>
      <c r="W487" s="32"/>
      <c r="X487" s="32"/>
      <c r="Y487" s="32"/>
      <c r="Z487" s="32"/>
      <c r="AA487" s="32"/>
    </row>
    <row r="488" spans="17:27" x14ac:dyDescent="0.25">
      <c r="Q488" s="234"/>
      <c r="V488" s="32"/>
      <c r="W488" s="32"/>
      <c r="X488" s="32"/>
      <c r="Y488" s="32"/>
      <c r="Z488" s="32"/>
      <c r="AA488" s="32"/>
    </row>
    <row r="489" spans="17:27" x14ac:dyDescent="0.25">
      <c r="Q489" s="234"/>
      <c r="V489" s="32"/>
      <c r="W489" s="32"/>
      <c r="X489" s="32"/>
      <c r="Y489" s="32"/>
      <c r="Z489" s="32"/>
      <c r="AA489" s="32"/>
    </row>
    <row r="490" spans="17:27" x14ac:dyDescent="0.25">
      <c r="Q490" s="234"/>
      <c r="V490" s="32"/>
      <c r="W490" s="32"/>
      <c r="X490" s="32"/>
      <c r="Y490" s="32"/>
      <c r="Z490" s="32"/>
      <c r="AA490" s="32"/>
    </row>
    <row r="491" spans="17:27" x14ac:dyDescent="0.25">
      <c r="Q491" s="234"/>
      <c r="V491" s="32"/>
      <c r="W491" s="32"/>
      <c r="X491" s="32"/>
      <c r="Y491" s="32"/>
      <c r="Z491" s="32"/>
      <c r="AA491" s="32"/>
    </row>
    <row r="492" spans="17:27" x14ac:dyDescent="0.25">
      <c r="Q492" s="234"/>
      <c r="V492" s="32"/>
      <c r="W492" s="32"/>
      <c r="X492" s="32"/>
      <c r="Y492" s="32"/>
      <c r="Z492" s="32"/>
      <c r="AA492" s="32"/>
    </row>
    <row r="493" spans="17:27" x14ac:dyDescent="0.25">
      <c r="Q493" s="234"/>
      <c r="V493" s="32"/>
      <c r="W493" s="32"/>
      <c r="X493" s="32"/>
      <c r="Y493" s="32"/>
      <c r="Z493" s="32"/>
      <c r="AA493" s="32"/>
    </row>
    <row r="494" spans="17:27" x14ac:dyDescent="0.25">
      <c r="Q494" s="234"/>
      <c r="V494" s="32"/>
      <c r="W494" s="32"/>
      <c r="X494" s="32"/>
      <c r="Y494" s="32"/>
      <c r="Z494" s="32"/>
      <c r="AA494" s="32"/>
    </row>
    <row r="495" spans="17:27" x14ac:dyDescent="0.25">
      <c r="Q495" s="234"/>
      <c r="V495" s="32"/>
      <c r="W495" s="32"/>
      <c r="X495" s="32"/>
      <c r="Y495" s="32"/>
      <c r="Z495" s="32"/>
      <c r="AA495" s="32"/>
    </row>
    <row r="496" spans="17:27" x14ac:dyDescent="0.25">
      <c r="Q496" s="234"/>
      <c r="V496" s="32"/>
      <c r="W496" s="32"/>
      <c r="X496" s="32"/>
      <c r="Y496" s="32"/>
      <c r="Z496" s="32"/>
      <c r="AA496" s="32"/>
    </row>
    <row r="497" spans="17:27" x14ac:dyDescent="0.25">
      <c r="Q497" s="234"/>
      <c r="V497" s="32"/>
      <c r="W497" s="32"/>
      <c r="X497" s="32"/>
      <c r="Y497" s="32"/>
      <c r="Z497" s="32"/>
      <c r="AA497" s="32"/>
    </row>
    <row r="498" spans="17:27" x14ac:dyDescent="0.25">
      <c r="Q498" s="234"/>
      <c r="V498" s="32"/>
      <c r="W498" s="32"/>
      <c r="X498" s="32"/>
      <c r="Y498" s="32"/>
      <c r="Z498" s="32"/>
      <c r="AA498" s="32"/>
    </row>
    <row r="499" spans="17:27" x14ac:dyDescent="0.25">
      <c r="Q499" s="234"/>
      <c r="V499" s="32"/>
      <c r="W499" s="32"/>
      <c r="X499" s="32"/>
      <c r="Y499" s="32"/>
      <c r="Z499" s="32"/>
      <c r="AA499" s="32"/>
    </row>
    <row r="500" spans="17:27" x14ac:dyDescent="0.25">
      <c r="Q500" s="234"/>
      <c r="V500" s="32"/>
      <c r="W500" s="32"/>
      <c r="X500" s="32"/>
      <c r="Y500" s="32"/>
      <c r="Z500" s="32"/>
      <c r="AA500" s="32"/>
    </row>
    <row r="501" spans="17:27" x14ac:dyDescent="0.25">
      <c r="Q501" s="234"/>
      <c r="V501" s="32"/>
      <c r="W501" s="32"/>
      <c r="X501" s="32"/>
      <c r="Y501" s="32"/>
      <c r="Z501" s="32"/>
      <c r="AA501" s="32"/>
    </row>
    <row r="502" spans="17:27" x14ac:dyDescent="0.25">
      <c r="Q502" s="234"/>
      <c r="V502" s="32"/>
      <c r="W502" s="32"/>
      <c r="X502" s="32"/>
      <c r="Y502" s="32"/>
      <c r="Z502" s="32"/>
      <c r="AA502" s="32"/>
    </row>
    <row r="503" spans="17:27" x14ac:dyDescent="0.25">
      <c r="Q503" s="234"/>
      <c r="V503" s="32"/>
      <c r="W503" s="32"/>
      <c r="X503" s="32"/>
      <c r="Y503" s="32"/>
      <c r="Z503" s="32"/>
      <c r="AA503" s="32"/>
    </row>
    <row r="504" spans="17:27" x14ac:dyDescent="0.25">
      <c r="Q504" s="234"/>
      <c r="V504" s="32"/>
      <c r="W504" s="32"/>
      <c r="X504" s="32"/>
      <c r="Y504" s="32"/>
      <c r="Z504" s="32"/>
      <c r="AA504" s="32"/>
    </row>
    <row r="505" spans="17:27" x14ac:dyDescent="0.25">
      <c r="Q505" s="234"/>
      <c r="V505" s="32"/>
      <c r="W505" s="32"/>
      <c r="X505" s="32"/>
      <c r="Y505" s="32"/>
      <c r="Z505" s="32"/>
      <c r="AA505" s="32"/>
    </row>
    <row r="506" spans="17:27" x14ac:dyDescent="0.25">
      <c r="Q506" s="234"/>
      <c r="V506" s="32"/>
      <c r="W506" s="32"/>
      <c r="X506" s="32"/>
      <c r="Y506" s="32"/>
      <c r="Z506" s="32"/>
      <c r="AA506" s="32"/>
    </row>
    <row r="507" spans="17:27" x14ac:dyDescent="0.25">
      <c r="Q507" s="234"/>
      <c r="V507" s="32"/>
      <c r="W507" s="32"/>
      <c r="X507" s="32"/>
      <c r="Y507" s="32"/>
      <c r="Z507" s="32"/>
      <c r="AA507" s="32"/>
    </row>
    <row r="508" spans="17:27" x14ac:dyDescent="0.25">
      <c r="Q508" s="234"/>
      <c r="V508" s="32"/>
      <c r="W508" s="32"/>
      <c r="X508" s="32"/>
      <c r="Y508" s="32"/>
      <c r="Z508" s="32"/>
      <c r="AA508" s="32"/>
    </row>
    <row r="509" spans="17:27" x14ac:dyDescent="0.25">
      <c r="Q509" s="234"/>
      <c r="V509" s="32"/>
      <c r="W509" s="32"/>
      <c r="X509" s="32"/>
      <c r="Y509" s="32"/>
      <c r="Z509" s="32"/>
      <c r="AA509" s="32"/>
    </row>
    <row r="510" spans="17:27" x14ac:dyDescent="0.25">
      <c r="Q510" s="234"/>
      <c r="V510" s="32"/>
      <c r="W510" s="32"/>
      <c r="X510" s="32"/>
      <c r="Y510" s="32"/>
      <c r="Z510" s="32"/>
      <c r="AA510" s="32"/>
    </row>
    <row r="511" spans="17:27" x14ac:dyDescent="0.25">
      <c r="Q511" s="234"/>
      <c r="V511" s="32"/>
      <c r="W511" s="32"/>
      <c r="X511" s="32"/>
      <c r="Y511" s="32"/>
      <c r="Z511" s="32"/>
      <c r="AA511" s="32"/>
    </row>
    <row r="512" spans="17:27" x14ac:dyDescent="0.25">
      <c r="Q512" s="234"/>
      <c r="V512" s="32"/>
      <c r="W512" s="32"/>
      <c r="X512" s="32"/>
      <c r="Y512" s="32"/>
      <c r="Z512" s="32"/>
      <c r="AA512" s="32"/>
    </row>
    <row r="513" spans="17:27" x14ac:dyDescent="0.25">
      <c r="Q513" s="234"/>
      <c r="V513" s="32"/>
      <c r="W513" s="32"/>
      <c r="X513" s="32"/>
      <c r="Y513" s="32"/>
      <c r="Z513" s="32"/>
      <c r="AA513" s="32"/>
    </row>
    <row r="514" spans="17:27" x14ac:dyDescent="0.25">
      <c r="Q514" s="234"/>
      <c r="V514" s="32"/>
      <c r="W514" s="32"/>
      <c r="X514" s="32"/>
      <c r="Y514" s="32"/>
      <c r="Z514" s="32"/>
      <c r="AA514" s="32"/>
    </row>
    <row r="515" spans="17:27" x14ac:dyDescent="0.25">
      <c r="Q515" s="234"/>
      <c r="V515" s="32"/>
      <c r="W515" s="32"/>
      <c r="X515" s="32"/>
      <c r="Y515" s="32"/>
      <c r="Z515" s="32"/>
      <c r="AA515" s="32"/>
    </row>
    <row r="516" spans="17:27" x14ac:dyDescent="0.25">
      <c r="Q516" s="234"/>
      <c r="V516" s="32"/>
      <c r="W516" s="32"/>
      <c r="X516" s="32"/>
      <c r="Y516" s="32"/>
      <c r="Z516" s="32"/>
      <c r="AA516" s="32"/>
    </row>
    <row r="517" spans="17:27" x14ac:dyDescent="0.25">
      <c r="Q517" s="234"/>
      <c r="V517" s="32"/>
      <c r="W517" s="32"/>
      <c r="X517" s="32"/>
      <c r="Y517" s="32"/>
      <c r="Z517" s="32"/>
      <c r="AA517" s="32"/>
    </row>
    <row r="518" spans="17:27" x14ac:dyDescent="0.25">
      <c r="Q518" s="234"/>
      <c r="V518" s="32"/>
      <c r="W518" s="32"/>
      <c r="X518" s="32"/>
      <c r="Y518" s="32"/>
      <c r="Z518" s="32"/>
      <c r="AA518" s="32"/>
    </row>
    <row r="519" spans="17:27" x14ac:dyDescent="0.25">
      <c r="Q519" s="234"/>
      <c r="V519" s="32"/>
      <c r="W519" s="32"/>
      <c r="X519" s="32"/>
      <c r="Y519" s="32"/>
      <c r="Z519" s="32"/>
      <c r="AA519" s="32"/>
    </row>
    <row r="520" spans="17:27" x14ac:dyDescent="0.25">
      <c r="Q520" s="234"/>
      <c r="V520" s="32"/>
      <c r="W520" s="32"/>
      <c r="X520" s="32"/>
      <c r="Y520" s="32"/>
      <c r="Z520" s="32"/>
      <c r="AA520" s="32"/>
    </row>
    <row r="521" spans="17:27" x14ac:dyDescent="0.25">
      <c r="Q521" s="234"/>
      <c r="V521" s="32"/>
      <c r="W521" s="32"/>
      <c r="X521" s="32"/>
      <c r="Y521" s="32"/>
      <c r="Z521" s="32"/>
      <c r="AA521" s="32"/>
    </row>
    <row r="522" spans="17:27" x14ac:dyDescent="0.25">
      <c r="Q522" s="234"/>
      <c r="V522" s="32"/>
      <c r="W522" s="32"/>
      <c r="X522" s="32"/>
      <c r="Y522" s="32"/>
      <c r="Z522" s="32"/>
      <c r="AA522" s="32"/>
    </row>
    <row r="523" spans="17:27" x14ac:dyDescent="0.25">
      <c r="Q523" s="234"/>
      <c r="V523" s="32"/>
      <c r="W523" s="32"/>
      <c r="X523" s="32"/>
      <c r="Y523" s="32"/>
      <c r="Z523" s="32"/>
      <c r="AA523" s="32"/>
    </row>
    <row r="524" spans="17:27" x14ac:dyDescent="0.25">
      <c r="Q524" s="234"/>
      <c r="V524" s="32"/>
      <c r="W524" s="32"/>
      <c r="X524" s="32"/>
      <c r="Y524" s="32"/>
      <c r="Z524" s="32"/>
      <c r="AA524" s="32"/>
    </row>
    <row r="525" spans="17:27" x14ac:dyDescent="0.25">
      <c r="Q525" s="234"/>
      <c r="V525" s="32"/>
      <c r="W525" s="32"/>
      <c r="X525" s="32"/>
      <c r="Y525" s="32"/>
      <c r="Z525" s="32"/>
      <c r="AA525" s="32"/>
    </row>
    <row r="526" spans="17:27" x14ac:dyDescent="0.25">
      <c r="Q526" s="234"/>
      <c r="V526" s="32"/>
      <c r="W526" s="32"/>
      <c r="X526" s="32"/>
      <c r="Y526" s="32"/>
      <c r="Z526" s="32"/>
      <c r="AA526" s="32"/>
    </row>
    <row r="527" spans="17:27" x14ac:dyDescent="0.25">
      <c r="Q527" s="234"/>
      <c r="V527" s="32"/>
      <c r="W527" s="32"/>
      <c r="X527" s="32"/>
      <c r="Y527" s="32"/>
      <c r="Z527" s="32"/>
      <c r="AA527" s="32"/>
    </row>
    <row r="528" spans="17:27" x14ac:dyDescent="0.25">
      <c r="Q528" s="234"/>
      <c r="V528" s="32"/>
      <c r="W528" s="32"/>
      <c r="X528" s="32"/>
      <c r="Y528" s="32"/>
      <c r="Z528" s="32"/>
      <c r="AA528" s="32"/>
    </row>
    <row r="529" spans="17:27" x14ac:dyDescent="0.25">
      <c r="Q529" s="234"/>
      <c r="V529" s="32"/>
      <c r="W529" s="32"/>
      <c r="X529" s="32"/>
      <c r="Y529" s="32"/>
      <c r="Z529" s="32"/>
      <c r="AA529" s="32"/>
    </row>
    <row r="530" spans="17:27" x14ac:dyDescent="0.25">
      <c r="Q530" s="234"/>
      <c r="V530" s="32"/>
      <c r="W530" s="32"/>
      <c r="X530" s="32"/>
      <c r="Y530" s="32"/>
      <c r="Z530" s="32"/>
      <c r="AA530" s="32"/>
    </row>
    <row r="531" spans="17:27" x14ac:dyDescent="0.25">
      <c r="Q531" s="234"/>
      <c r="V531" s="32"/>
      <c r="W531" s="32"/>
      <c r="X531" s="32"/>
      <c r="Y531" s="32"/>
      <c r="Z531" s="32"/>
      <c r="AA531" s="32"/>
    </row>
    <row r="532" spans="17:27" x14ac:dyDescent="0.25">
      <c r="Q532" s="234"/>
      <c r="V532" s="32"/>
      <c r="W532" s="32"/>
      <c r="X532" s="32"/>
      <c r="Y532" s="32"/>
      <c r="Z532" s="32"/>
      <c r="AA532" s="32"/>
    </row>
    <row r="533" spans="17:27" x14ac:dyDescent="0.25">
      <c r="Q533" s="234"/>
      <c r="V533" s="32"/>
      <c r="W533" s="32"/>
      <c r="X533" s="32"/>
      <c r="Y533" s="32"/>
      <c r="Z533" s="32"/>
      <c r="AA533" s="32"/>
    </row>
    <row r="534" spans="17:27" x14ac:dyDescent="0.25">
      <c r="Q534" s="234"/>
      <c r="V534" s="32"/>
      <c r="W534" s="32"/>
      <c r="X534" s="32"/>
      <c r="Y534" s="32"/>
      <c r="Z534" s="32"/>
      <c r="AA534" s="32"/>
    </row>
    <row r="535" spans="17:27" x14ac:dyDescent="0.25">
      <c r="Q535" s="234"/>
      <c r="V535" s="32"/>
      <c r="W535" s="32"/>
      <c r="X535" s="32"/>
      <c r="Y535" s="32"/>
      <c r="Z535" s="32"/>
      <c r="AA535" s="32"/>
    </row>
    <row r="536" spans="17:27" x14ac:dyDescent="0.25">
      <c r="Q536" s="234"/>
      <c r="V536" s="32"/>
      <c r="W536" s="32"/>
      <c r="X536" s="32"/>
      <c r="Y536" s="32"/>
      <c r="Z536" s="32"/>
      <c r="AA536" s="32"/>
    </row>
    <row r="537" spans="17:27" x14ac:dyDescent="0.25">
      <c r="Q537" s="234"/>
      <c r="V537" s="32"/>
      <c r="W537" s="32"/>
      <c r="X537" s="32"/>
      <c r="Y537" s="32"/>
      <c r="Z537" s="32"/>
      <c r="AA537" s="32"/>
    </row>
    <row r="538" spans="17:27" x14ac:dyDescent="0.25">
      <c r="Q538" s="234"/>
      <c r="V538" s="32"/>
      <c r="W538" s="32"/>
      <c r="X538" s="32"/>
      <c r="Y538" s="32"/>
      <c r="Z538" s="32"/>
      <c r="AA538" s="32"/>
    </row>
    <row r="539" spans="17:27" x14ac:dyDescent="0.25">
      <c r="Q539" s="234"/>
      <c r="V539" s="32"/>
      <c r="W539" s="32"/>
      <c r="X539" s="32"/>
      <c r="Y539" s="32"/>
      <c r="Z539" s="32"/>
      <c r="AA539" s="32"/>
    </row>
    <row r="540" spans="17:27" x14ac:dyDescent="0.25">
      <c r="Q540" s="234"/>
      <c r="V540" s="32"/>
      <c r="W540" s="32"/>
      <c r="X540" s="32"/>
      <c r="Y540" s="32"/>
      <c r="Z540" s="32"/>
      <c r="AA540" s="32"/>
    </row>
    <row r="541" spans="17:27" x14ac:dyDescent="0.25">
      <c r="Q541" s="234"/>
      <c r="V541" s="32"/>
      <c r="W541" s="32"/>
      <c r="X541" s="32"/>
      <c r="Y541" s="32"/>
      <c r="Z541" s="32"/>
      <c r="AA541" s="32"/>
    </row>
    <row r="542" spans="17:27" x14ac:dyDescent="0.25">
      <c r="Q542" s="234"/>
      <c r="V542" s="32"/>
      <c r="W542" s="32"/>
      <c r="X542" s="32"/>
      <c r="Y542" s="32"/>
      <c r="Z542" s="32"/>
      <c r="AA542" s="32"/>
    </row>
    <row r="543" spans="17:27" x14ac:dyDescent="0.25">
      <c r="Q543" s="234"/>
      <c r="V543" s="32"/>
      <c r="W543" s="32"/>
      <c r="X543" s="32"/>
      <c r="Y543" s="32"/>
      <c r="Z543" s="32"/>
      <c r="AA543" s="32"/>
    </row>
    <row r="544" spans="17:27" x14ac:dyDescent="0.25">
      <c r="Q544" s="234"/>
      <c r="V544" s="32"/>
      <c r="W544" s="32"/>
      <c r="X544" s="32"/>
      <c r="Y544" s="32"/>
      <c r="Z544" s="32"/>
      <c r="AA544" s="32"/>
    </row>
    <row r="545" spans="17:27" x14ac:dyDescent="0.25">
      <c r="Q545" s="234"/>
      <c r="V545" s="32"/>
      <c r="W545" s="32"/>
      <c r="X545" s="32"/>
      <c r="Y545" s="32"/>
      <c r="Z545" s="32"/>
      <c r="AA545" s="32"/>
    </row>
    <row r="546" spans="17:27" x14ac:dyDescent="0.25">
      <c r="Q546" s="234"/>
      <c r="V546" s="32"/>
      <c r="W546" s="32"/>
      <c r="X546" s="32"/>
      <c r="Y546" s="32"/>
      <c r="Z546" s="32"/>
      <c r="AA546" s="32"/>
    </row>
    <row r="547" spans="17:27" x14ac:dyDescent="0.25">
      <c r="Q547" s="234"/>
      <c r="V547" s="32"/>
      <c r="W547" s="32"/>
      <c r="X547" s="32"/>
      <c r="Y547" s="32"/>
      <c r="Z547" s="32"/>
      <c r="AA547" s="32"/>
    </row>
    <row r="548" spans="17:27" x14ac:dyDescent="0.25">
      <c r="Q548" s="234"/>
      <c r="V548" s="32"/>
      <c r="W548" s="32"/>
      <c r="X548" s="32"/>
      <c r="Y548" s="32"/>
      <c r="Z548" s="32"/>
      <c r="AA548" s="32"/>
    </row>
    <row r="549" spans="17:27" x14ac:dyDescent="0.25">
      <c r="Q549" s="234"/>
      <c r="V549" s="32"/>
      <c r="W549" s="32"/>
      <c r="X549" s="32"/>
      <c r="Y549" s="32"/>
      <c r="Z549" s="32"/>
      <c r="AA549" s="32"/>
    </row>
    <row r="550" spans="17:27" x14ac:dyDescent="0.25">
      <c r="Q550" s="234"/>
      <c r="V550" s="32"/>
      <c r="W550" s="32"/>
      <c r="X550" s="32"/>
      <c r="Y550" s="32"/>
      <c r="Z550" s="32"/>
      <c r="AA550" s="32"/>
    </row>
    <row r="551" spans="17:27" x14ac:dyDescent="0.25">
      <c r="Q551" s="234"/>
      <c r="V551" s="32"/>
      <c r="W551" s="32"/>
      <c r="X551" s="32"/>
      <c r="Y551" s="32"/>
      <c r="Z551" s="32"/>
      <c r="AA551" s="32"/>
    </row>
    <row r="552" spans="17:27" x14ac:dyDescent="0.25">
      <c r="Q552" s="234"/>
      <c r="V552" s="32"/>
      <c r="W552" s="32"/>
      <c r="X552" s="32"/>
      <c r="Y552" s="32"/>
      <c r="Z552" s="32"/>
      <c r="AA552" s="32"/>
    </row>
    <row r="553" spans="17:27" x14ac:dyDescent="0.25">
      <c r="Q553" s="234"/>
      <c r="V553" s="32"/>
      <c r="W553" s="32"/>
      <c r="X553" s="32"/>
      <c r="Y553" s="32"/>
      <c r="Z553" s="32"/>
      <c r="AA553" s="32"/>
    </row>
    <row r="554" spans="17:27" x14ac:dyDescent="0.25">
      <c r="Q554" s="234"/>
      <c r="V554" s="32"/>
      <c r="W554" s="32"/>
      <c r="X554" s="32"/>
      <c r="Y554" s="32"/>
      <c r="Z554" s="32"/>
      <c r="AA554" s="32"/>
    </row>
    <row r="555" spans="17:27" x14ac:dyDescent="0.25">
      <c r="Q555" s="234"/>
      <c r="V555" s="32"/>
      <c r="W555" s="32"/>
      <c r="X555" s="32"/>
      <c r="Y555" s="32"/>
      <c r="Z555" s="32"/>
      <c r="AA555" s="32"/>
    </row>
    <row r="556" spans="17:27" x14ac:dyDescent="0.25">
      <c r="Q556" s="234"/>
      <c r="V556" s="32"/>
      <c r="W556" s="32"/>
      <c r="X556" s="32"/>
      <c r="Y556" s="32"/>
      <c r="Z556" s="32"/>
      <c r="AA556" s="32"/>
    </row>
    <row r="557" spans="17:27" x14ac:dyDescent="0.25">
      <c r="Q557" s="234"/>
      <c r="V557" s="32"/>
      <c r="W557" s="32"/>
      <c r="X557" s="32"/>
      <c r="Y557" s="32"/>
      <c r="Z557" s="32"/>
      <c r="AA557" s="32"/>
    </row>
    <row r="558" spans="17:27" x14ac:dyDescent="0.25">
      <c r="Q558" s="234"/>
      <c r="V558" s="32"/>
      <c r="W558" s="32"/>
      <c r="X558" s="32"/>
      <c r="Y558" s="32"/>
      <c r="Z558" s="32"/>
      <c r="AA558" s="32"/>
    </row>
    <row r="559" spans="17:27" x14ac:dyDescent="0.25">
      <c r="Q559" s="234"/>
      <c r="V559" s="32"/>
      <c r="W559" s="32"/>
      <c r="X559" s="32"/>
      <c r="Y559" s="32"/>
      <c r="Z559" s="32"/>
      <c r="AA559" s="32"/>
    </row>
    <row r="560" spans="17:27" x14ac:dyDescent="0.25">
      <c r="Q560" s="234"/>
      <c r="V560" s="32"/>
      <c r="W560" s="32"/>
      <c r="X560" s="32"/>
      <c r="Y560" s="32"/>
      <c r="Z560" s="32"/>
      <c r="AA560" s="32"/>
    </row>
    <row r="561" spans="17:27" x14ac:dyDescent="0.25">
      <c r="Q561" s="234"/>
      <c r="V561" s="32"/>
      <c r="W561" s="32"/>
      <c r="X561" s="32"/>
      <c r="Y561" s="32"/>
      <c r="Z561" s="32"/>
      <c r="AA561" s="32"/>
    </row>
    <row r="562" spans="17:27" x14ac:dyDescent="0.25">
      <c r="Q562" s="234"/>
      <c r="V562" s="32"/>
      <c r="W562" s="32"/>
      <c r="X562" s="32"/>
      <c r="Y562" s="32"/>
      <c r="Z562" s="32"/>
      <c r="AA562" s="32"/>
    </row>
    <row r="563" spans="17:27" x14ac:dyDescent="0.25">
      <c r="Q563" s="234"/>
      <c r="V563" s="32"/>
      <c r="W563" s="32"/>
      <c r="X563" s="32"/>
      <c r="Y563" s="32"/>
      <c r="Z563" s="32"/>
      <c r="AA563" s="32"/>
    </row>
    <row r="564" spans="17:27" x14ac:dyDescent="0.25">
      <c r="Q564" s="234"/>
      <c r="V564" s="32"/>
      <c r="W564" s="32"/>
      <c r="X564" s="32"/>
      <c r="Y564" s="32"/>
      <c r="Z564" s="32"/>
      <c r="AA564" s="32"/>
    </row>
    <row r="565" spans="17:27" x14ac:dyDescent="0.25">
      <c r="Q565" s="234"/>
      <c r="V565" s="32"/>
      <c r="W565" s="32"/>
      <c r="X565" s="32"/>
      <c r="Y565" s="32"/>
      <c r="Z565" s="32"/>
      <c r="AA565" s="32"/>
    </row>
    <row r="566" spans="17:27" x14ac:dyDescent="0.25">
      <c r="Q566" s="234"/>
      <c r="V566" s="32"/>
      <c r="W566" s="32"/>
      <c r="X566" s="32"/>
      <c r="Y566" s="32"/>
      <c r="Z566" s="32"/>
      <c r="AA566" s="32"/>
    </row>
    <row r="567" spans="17:27" x14ac:dyDescent="0.25">
      <c r="Q567" s="234"/>
      <c r="V567" s="32"/>
      <c r="W567" s="32"/>
      <c r="X567" s="32"/>
      <c r="Y567" s="32"/>
      <c r="Z567" s="32"/>
      <c r="AA567" s="32"/>
    </row>
    <row r="568" spans="17:27" x14ac:dyDescent="0.25">
      <c r="Q568" s="234"/>
      <c r="V568" s="32"/>
      <c r="W568" s="32"/>
      <c r="X568" s="32"/>
      <c r="Y568" s="32"/>
      <c r="Z568" s="32"/>
      <c r="AA568" s="32"/>
    </row>
    <row r="569" spans="17:27" x14ac:dyDescent="0.25">
      <c r="Q569" s="234"/>
      <c r="V569" s="32"/>
      <c r="W569" s="32"/>
      <c r="X569" s="32"/>
      <c r="Y569" s="32"/>
      <c r="Z569" s="32"/>
      <c r="AA569" s="32"/>
    </row>
    <row r="570" spans="17:27" x14ac:dyDescent="0.25">
      <c r="Q570" s="234"/>
      <c r="V570" s="32"/>
      <c r="W570" s="32"/>
      <c r="X570" s="32"/>
      <c r="Y570" s="32"/>
      <c r="Z570" s="32"/>
      <c r="AA570" s="32"/>
    </row>
    <row r="571" spans="17:27" x14ac:dyDescent="0.25">
      <c r="Q571" s="234"/>
      <c r="V571" s="32"/>
      <c r="W571" s="32"/>
      <c r="X571" s="32"/>
      <c r="Y571" s="32"/>
      <c r="Z571" s="32"/>
      <c r="AA571" s="32"/>
    </row>
    <row r="572" spans="17:27" x14ac:dyDescent="0.25">
      <c r="Q572" s="234"/>
      <c r="V572" s="32"/>
      <c r="W572" s="32"/>
      <c r="X572" s="32"/>
      <c r="Y572" s="32"/>
      <c r="Z572" s="32"/>
      <c r="AA572" s="32"/>
    </row>
    <row r="573" spans="17:27" x14ac:dyDescent="0.25">
      <c r="Q573" s="234"/>
      <c r="V573" s="32"/>
      <c r="W573" s="32"/>
      <c r="X573" s="32"/>
      <c r="Y573" s="32"/>
      <c r="Z573" s="32"/>
      <c r="AA573" s="32"/>
    </row>
    <row r="574" spans="17:27" x14ac:dyDescent="0.25">
      <c r="Q574" s="234"/>
      <c r="V574" s="32"/>
      <c r="W574" s="32"/>
      <c r="X574" s="32"/>
      <c r="Y574" s="32"/>
      <c r="Z574" s="32"/>
      <c r="AA574" s="32"/>
    </row>
    <row r="575" spans="17:27" x14ac:dyDescent="0.25">
      <c r="Q575" s="234"/>
      <c r="V575" s="32"/>
      <c r="W575" s="32"/>
      <c r="X575" s="32"/>
      <c r="Y575" s="32"/>
      <c r="Z575" s="32"/>
      <c r="AA575" s="32"/>
    </row>
    <row r="576" spans="17:27" x14ac:dyDescent="0.25">
      <c r="Q576" s="234"/>
      <c r="V576" s="32"/>
      <c r="W576" s="32"/>
      <c r="X576" s="32"/>
      <c r="Y576" s="32"/>
      <c r="Z576" s="32"/>
      <c r="AA576" s="32"/>
    </row>
    <row r="577" spans="17:27" x14ac:dyDescent="0.25">
      <c r="Q577" s="234"/>
      <c r="V577" s="32"/>
      <c r="W577" s="32"/>
      <c r="X577" s="32"/>
      <c r="Y577" s="32"/>
      <c r="Z577" s="32"/>
      <c r="AA577" s="32"/>
    </row>
    <row r="578" spans="17:27" x14ac:dyDescent="0.25">
      <c r="Q578" s="234"/>
      <c r="V578" s="32"/>
      <c r="W578" s="32"/>
      <c r="X578" s="32"/>
      <c r="Y578" s="32"/>
      <c r="Z578" s="32"/>
      <c r="AA578" s="32"/>
    </row>
    <row r="579" spans="17:27" x14ac:dyDescent="0.25">
      <c r="Q579" s="234"/>
      <c r="V579" s="32"/>
      <c r="W579" s="32"/>
      <c r="X579" s="32"/>
      <c r="Y579" s="32"/>
      <c r="Z579" s="32"/>
      <c r="AA579" s="32"/>
    </row>
    <row r="580" spans="17:27" x14ac:dyDescent="0.25">
      <c r="Q580" s="234"/>
      <c r="V580" s="32"/>
      <c r="W580" s="32"/>
      <c r="X580" s="32"/>
      <c r="Y580" s="32"/>
      <c r="Z580" s="32"/>
      <c r="AA580" s="32"/>
    </row>
    <row r="581" spans="17:27" x14ac:dyDescent="0.25">
      <c r="Q581" s="234"/>
      <c r="V581" s="32"/>
      <c r="W581" s="32"/>
      <c r="X581" s="32"/>
      <c r="Y581" s="32"/>
      <c r="Z581" s="32"/>
      <c r="AA581" s="32"/>
    </row>
    <row r="582" spans="17:27" x14ac:dyDescent="0.25">
      <c r="Q582" s="234"/>
      <c r="V582" s="32"/>
      <c r="W582" s="32"/>
      <c r="X582" s="32"/>
      <c r="Y582" s="32"/>
      <c r="Z582" s="32"/>
      <c r="AA582" s="32"/>
    </row>
    <row r="583" spans="17:27" x14ac:dyDescent="0.25">
      <c r="Q583" s="234"/>
      <c r="V583" s="32"/>
      <c r="W583" s="32"/>
      <c r="X583" s="32"/>
      <c r="Y583" s="32"/>
      <c r="Z583" s="32"/>
      <c r="AA583" s="32"/>
    </row>
    <row r="584" spans="17:27" x14ac:dyDescent="0.25">
      <c r="Q584" s="234"/>
      <c r="V584" s="32"/>
      <c r="W584" s="32"/>
      <c r="X584" s="32"/>
      <c r="Y584" s="32"/>
      <c r="Z584" s="32"/>
      <c r="AA584" s="32"/>
    </row>
    <row r="585" spans="17:27" x14ac:dyDescent="0.25">
      <c r="Q585" s="234"/>
      <c r="V585" s="32"/>
      <c r="W585" s="32"/>
      <c r="X585" s="32"/>
      <c r="Y585" s="32"/>
      <c r="Z585" s="32"/>
      <c r="AA585" s="32"/>
    </row>
    <row r="586" spans="17:27" x14ac:dyDescent="0.25">
      <c r="Q586" s="234"/>
      <c r="V586" s="32"/>
      <c r="W586" s="32"/>
      <c r="X586" s="32"/>
      <c r="Y586" s="32"/>
      <c r="Z586" s="32"/>
      <c r="AA586" s="32"/>
    </row>
    <row r="587" spans="17:27" x14ac:dyDescent="0.25">
      <c r="Q587" s="234"/>
      <c r="V587" s="32"/>
      <c r="W587" s="32"/>
      <c r="X587" s="32"/>
      <c r="Y587" s="32"/>
      <c r="Z587" s="32"/>
      <c r="AA587" s="32"/>
    </row>
    <row r="588" spans="17:27" x14ac:dyDescent="0.25">
      <c r="Q588" s="234"/>
      <c r="V588" s="32"/>
      <c r="W588" s="32"/>
      <c r="X588" s="32"/>
      <c r="Y588" s="32"/>
      <c r="Z588" s="32"/>
      <c r="AA588" s="32"/>
    </row>
    <row r="589" spans="17:27" x14ac:dyDescent="0.25">
      <c r="Q589" s="234"/>
      <c r="V589" s="32"/>
      <c r="W589" s="32"/>
      <c r="X589" s="32"/>
      <c r="Y589" s="32"/>
      <c r="Z589" s="32"/>
      <c r="AA589" s="32"/>
    </row>
    <row r="590" spans="17:27" x14ac:dyDescent="0.25">
      <c r="Q590" s="234"/>
      <c r="V590" s="32"/>
      <c r="W590" s="32"/>
      <c r="X590" s="32"/>
      <c r="Y590" s="32"/>
      <c r="Z590" s="32"/>
      <c r="AA590" s="32"/>
    </row>
    <row r="591" spans="17:27" x14ac:dyDescent="0.25">
      <c r="Q591" s="234"/>
      <c r="V591" s="32"/>
      <c r="W591" s="32"/>
      <c r="X591" s="32"/>
      <c r="Y591" s="32"/>
      <c r="Z591" s="32"/>
      <c r="AA591" s="32"/>
    </row>
    <row r="592" spans="17:27" x14ac:dyDescent="0.25">
      <c r="Q592" s="234"/>
      <c r="V592" s="32"/>
      <c r="W592" s="32"/>
      <c r="X592" s="32"/>
      <c r="Y592" s="32"/>
      <c r="Z592" s="32"/>
      <c r="AA592" s="32"/>
    </row>
    <row r="593" spans="17:27" x14ac:dyDescent="0.25">
      <c r="Q593" s="234"/>
      <c r="V593" s="32"/>
      <c r="W593" s="32"/>
      <c r="X593" s="32"/>
      <c r="Y593" s="32"/>
      <c r="Z593" s="32"/>
      <c r="AA593" s="32"/>
    </row>
    <row r="594" spans="17:27" x14ac:dyDescent="0.25">
      <c r="Q594" s="234"/>
      <c r="V594" s="32"/>
      <c r="W594" s="32"/>
      <c r="X594" s="32"/>
      <c r="Y594" s="32"/>
      <c r="Z594" s="32"/>
      <c r="AA594" s="32"/>
    </row>
    <row r="595" spans="17:27" x14ac:dyDescent="0.25">
      <c r="Q595" s="234"/>
      <c r="V595" s="32"/>
      <c r="W595" s="32"/>
      <c r="X595" s="32"/>
      <c r="Y595" s="32"/>
      <c r="Z595" s="32"/>
      <c r="AA595" s="32"/>
    </row>
    <row r="596" spans="17:27" x14ac:dyDescent="0.25">
      <c r="Q596" s="234"/>
      <c r="V596" s="32"/>
      <c r="W596" s="32"/>
      <c r="X596" s="32"/>
      <c r="Y596" s="32"/>
      <c r="Z596" s="32"/>
      <c r="AA596" s="32"/>
    </row>
    <row r="597" spans="17:27" x14ac:dyDescent="0.25">
      <c r="Q597" s="234"/>
      <c r="V597" s="32"/>
      <c r="W597" s="32"/>
      <c r="X597" s="32"/>
      <c r="Y597" s="32"/>
      <c r="Z597" s="32"/>
      <c r="AA597" s="32"/>
    </row>
    <row r="598" spans="17:27" x14ac:dyDescent="0.25">
      <c r="Q598" s="234"/>
      <c r="V598" s="32"/>
      <c r="W598" s="32"/>
      <c r="X598" s="32"/>
      <c r="Y598" s="32"/>
      <c r="Z598" s="32"/>
      <c r="AA598" s="32"/>
    </row>
    <row r="599" spans="17:27" x14ac:dyDescent="0.25">
      <c r="Q599" s="234"/>
      <c r="V599" s="32"/>
      <c r="W599" s="32"/>
      <c r="X599" s="32"/>
      <c r="Y599" s="32"/>
      <c r="Z599" s="32"/>
      <c r="AA599" s="32"/>
    </row>
    <row r="600" spans="17:27" x14ac:dyDescent="0.25">
      <c r="Q600" s="234"/>
      <c r="V600" s="32"/>
      <c r="W600" s="32"/>
      <c r="X600" s="32"/>
      <c r="Y600" s="32"/>
      <c r="Z600" s="32"/>
      <c r="AA600" s="32"/>
    </row>
    <row r="601" spans="17:27" x14ac:dyDescent="0.25">
      <c r="Q601" s="234"/>
      <c r="V601" s="32"/>
      <c r="W601" s="32"/>
      <c r="X601" s="32"/>
      <c r="Y601" s="32"/>
      <c r="Z601" s="32"/>
      <c r="AA601" s="32"/>
    </row>
    <row r="602" spans="17:27" x14ac:dyDescent="0.25">
      <c r="Q602" s="234"/>
      <c r="V602" s="32"/>
      <c r="W602" s="32"/>
      <c r="X602" s="32"/>
      <c r="Y602" s="32"/>
      <c r="Z602" s="32"/>
      <c r="AA602" s="32"/>
    </row>
    <row r="603" spans="17:27" x14ac:dyDescent="0.25">
      <c r="Q603" s="234"/>
      <c r="V603" s="32"/>
      <c r="W603" s="32"/>
      <c r="X603" s="32"/>
      <c r="Y603" s="32"/>
      <c r="Z603" s="32"/>
      <c r="AA603" s="32"/>
    </row>
    <row r="604" spans="17:27" x14ac:dyDescent="0.25">
      <c r="Q604" s="234"/>
      <c r="V604" s="32"/>
      <c r="W604" s="32"/>
      <c r="X604" s="32"/>
      <c r="Y604" s="32"/>
      <c r="Z604" s="32"/>
      <c r="AA604" s="32"/>
    </row>
    <row r="605" spans="17:27" x14ac:dyDescent="0.25">
      <c r="Q605" s="234"/>
      <c r="V605" s="32"/>
      <c r="W605" s="32"/>
      <c r="X605" s="32"/>
      <c r="Y605" s="32"/>
      <c r="Z605" s="32"/>
      <c r="AA605" s="32"/>
    </row>
    <row r="606" spans="17:27" x14ac:dyDescent="0.25">
      <c r="Q606" s="234"/>
      <c r="V606" s="32"/>
      <c r="W606" s="32"/>
      <c r="X606" s="32"/>
      <c r="Y606" s="32"/>
      <c r="Z606" s="32"/>
      <c r="AA606" s="32"/>
    </row>
    <row r="607" spans="17:27" x14ac:dyDescent="0.25">
      <c r="Q607" s="234"/>
      <c r="V607" s="32"/>
      <c r="W607" s="32"/>
      <c r="X607" s="32"/>
      <c r="Y607" s="32"/>
      <c r="Z607" s="32"/>
      <c r="AA607" s="32"/>
    </row>
    <row r="608" spans="17:27" x14ac:dyDescent="0.25">
      <c r="Q608" s="234"/>
      <c r="V608" s="32"/>
      <c r="W608" s="32"/>
      <c r="X608" s="32"/>
      <c r="Y608" s="32"/>
      <c r="Z608" s="32"/>
      <c r="AA608" s="32"/>
    </row>
    <row r="609" spans="17:27" x14ac:dyDescent="0.25">
      <c r="Q609" s="234"/>
      <c r="V609" s="32"/>
      <c r="W609" s="32"/>
      <c r="X609" s="32"/>
      <c r="Y609" s="32"/>
      <c r="Z609" s="32"/>
      <c r="AA609" s="32"/>
    </row>
    <row r="610" spans="17:27" x14ac:dyDescent="0.25">
      <c r="Q610" s="234"/>
      <c r="V610" s="32"/>
      <c r="W610" s="32"/>
      <c r="X610" s="32"/>
      <c r="Y610" s="32"/>
      <c r="Z610" s="32"/>
      <c r="AA610" s="32"/>
    </row>
    <row r="611" spans="17:27" x14ac:dyDescent="0.25">
      <c r="Q611" s="234"/>
      <c r="V611" s="32"/>
      <c r="W611" s="32"/>
      <c r="X611" s="32"/>
      <c r="Y611" s="32"/>
      <c r="Z611" s="32"/>
      <c r="AA611" s="32"/>
    </row>
    <row r="612" spans="17:27" x14ac:dyDescent="0.25">
      <c r="Q612" s="234"/>
      <c r="V612" s="32"/>
      <c r="W612" s="32"/>
      <c r="X612" s="32"/>
      <c r="Y612" s="32"/>
      <c r="Z612" s="32"/>
      <c r="AA612" s="32"/>
    </row>
    <row r="613" spans="17:27" x14ac:dyDescent="0.25">
      <c r="Q613" s="234"/>
      <c r="V613" s="32"/>
      <c r="W613" s="32"/>
      <c r="X613" s="32"/>
      <c r="Y613" s="32"/>
      <c r="Z613" s="32"/>
      <c r="AA613" s="32"/>
    </row>
    <row r="614" spans="17:27" x14ac:dyDescent="0.25">
      <c r="Q614" s="234"/>
      <c r="V614" s="32"/>
      <c r="W614" s="32"/>
      <c r="X614" s="32"/>
      <c r="Y614" s="32"/>
      <c r="Z614" s="32"/>
      <c r="AA614" s="32"/>
    </row>
    <row r="615" spans="17:27" x14ac:dyDescent="0.25">
      <c r="Q615" s="234"/>
      <c r="V615" s="32"/>
      <c r="W615" s="32"/>
      <c r="X615" s="32"/>
      <c r="Y615" s="32"/>
      <c r="Z615" s="32"/>
      <c r="AA615" s="32"/>
    </row>
    <row r="616" spans="17:27" x14ac:dyDescent="0.25">
      <c r="Q616" s="234"/>
      <c r="V616" s="32"/>
      <c r="W616" s="32"/>
      <c r="X616" s="32"/>
      <c r="Y616" s="32"/>
      <c r="Z616" s="32"/>
      <c r="AA616" s="32"/>
    </row>
    <row r="617" spans="17:27" x14ac:dyDescent="0.25">
      <c r="Q617" s="234"/>
      <c r="V617" s="32"/>
      <c r="W617" s="32"/>
      <c r="X617" s="32"/>
      <c r="Y617" s="32"/>
      <c r="Z617" s="32"/>
      <c r="AA617" s="32"/>
    </row>
    <row r="618" spans="17:27" x14ac:dyDescent="0.25">
      <c r="Q618" s="234"/>
      <c r="V618" s="32"/>
      <c r="W618" s="32"/>
      <c r="X618" s="32"/>
      <c r="Y618" s="32"/>
      <c r="Z618" s="32"/>
      <c r="AA618" s="32"/>
    </row>
    <row r="619" spans="17:27" x14ac:dyDescent="0.25">
      <c r="Q619" s="234"/>
      <c r="V619" s="32"/>
      <c r="W619" s="32"/>
      <c r="X619" s="32"/>
      <c r="Y619" s="32"/>
      <c r="Z619" s="32"/>
      <c r="AA619" s="32"/>
    </row>
    <row r="620" spans="17:27" x14ac:dyDescent="0.25">
      <c r="Q620" s="234"/>
      <c r="V620" s="32"/>
      <c r="W620" s="32"/>
      <c r="X620" s="32"/>
      <c r="Y620" s="32"/>
      <c r="Z620" s="32"/>
      <c r="AA620" s="32"/>
    </row>
    <row r="621" spans="17:27" x14ac:dyDescent="0.25">
      <c r="Q621" s="234"/>
      <c r="V621" s="32"/>
      <c r="W621" s="32"/>
      <c r="X621" s="32"/>
      <c r="Y621" s="32"/>
      <c r="Z621" s="32"/>
      <c r="AA621" s="32"/>
    </row>
    <row r="622" spans="17:27" x14ac:dyDescent="0.25">
      <c r="Q622" s="234"/>
      <c r="V622" s="32"/>
      <c r="W622" s="32"/>
      <c r="X622" s="32"/>
      <c r="Y622" s="32"/>
      <c r="Z622" s="32"/>
      <c r="AA622" s="32"/>
    </row>
    <row r="623" spans="17:27" x14ac:dyDescent="0.25">
      <c r="Q623" s="234"/>
      <c r="V623" s="32"/>
      <c r="W623" s="32"/>
      <c r="X623" s="32"/>
      <c r="Y623" s="32"/>
      <c r="Z623" s="32"/>
      <c r="AA623" s="32"/>
    </row>
    <row r="624" spans="17:27" x14ac:dyDescent="0.25">
      <c r="Q624" s="234"/>
      <c r="V624" s="32"/>
      <c r="W624" s="32"/>
      <c r="X624" s="32"/>
      <c r="Y624" s="32"/>
      <c r="Z624" s="32"/>
      <c r="AA624" s="32"/>
    </row>
    <row r="625" spans="17:27" x14ac:dyDescent="0.25">
      <c r="Q625" s="234"/>
      <c r="V625" s="32"/>
      <c r="W625" s="32"/>
      <c r="X625" s="32"/>
      <c r="Y625" s="32"/>
      <c r="Z625" s="32"/>
      <c r="AA625" s="32"/>
    </row>
    <row r="626" spans="17:27" x14ac:dyDescent="0.25">
      <c r="Q626" s="234"/>
      <c r="V626" s="32"/>
      <c r="W626" s="32"/>
      <c r="X626" s="32"/>
      <c r="Y626" s="32"/>
      <c r="Z626" s="32"/>
      <c r="AA626" s="32"/>
    </row>
    <row r="627" spans="17:27" x14ac:dyDescent="0.25">
      <c r="Q627" s="234"/>
      <c r="V627" s="32"/>
      <c r="W627" s="32"/>
      <c r="X627" s="32"/>
      <c r="Y627" s="32"/>
      <c r="Z627" s="32"/>
      <c r="AA627" s="32"/>
    </row>
    <row r="628" spans="17:27" x14ac:dyDescent="0.25">
      <c r="Q628" s="234"/>
      <c r="V628" s="32"/>
      <c r="W628" s="32"/>
      <c r="X628" s="32"/>
      <c r="Y628" s="32"/>
      <c r="Z628" s="32"/>
      <c r="AA628" s="32"/>
    </row>
    <row r="629" spans="17:27" x14ac:dyDescent="0.25">
      <c r="Q629" s="234"/>
      <c r="V629" s="32"/>
      <c r="W629" s="32"/>
      <c r="X629" s="32"/>
      <c r="Y629" s="32"/>
      <c r="Z629" s="32"/>
      <c r="AA629" s="32"/>
    </row>
    <row r="630" spans="17:27" x14ac:dyDescent="0.25">
      <c r="Q630" s="234"/>
      <c r="V630" s="32"/>
      <c r="W630" s="32"/>
      <c r="X630" s="32"/>
      <c r="Y630" s="32"/>
      <c r="Z630" s="32"/>
      <c r="AA630" s="32"/>
    </row>
    <row r="631" spans="17:27" x14ac:dyDescent="0.25">
      <c r="Q631" s="234"/>
      <c r="V631" s="32"/>
      <c r="W631" s="32"/>
      <c r="X631" s="32"/>
      <c r="Y631" s="32"/>
      <c r="Z631" s="32"/>
      <c r="AA631" s="32"/>
    </row>
    <row r="632" spans="17:27" x14ac:dyDescent="0.25">
      <c r="Q632" s="234"/>
      <c r="V632" s="32"/>
      <c r="W632" s="32"/>
      <c r="X632" s="32"/>
      <c r="Y632" s="32"/>
      <c r="Z632" s="32"/>
      <c r="AA632" s="32"/>
    </row>
    <row r="633" spans="17:27" x14ac:dyDescent="0.25">
      <c r="Q633" s="234"/>
      <c r="V633" s="32"/>
      <c r="W633" s="32"/>
      <c r="X633" s="32"/>
      <c r="Y633" s="32"/>
      <c r="Z633" s="32"/>
      <c r="AA633" s="32"/>
    </row>
    <row r="634" spans="17:27" x14ac:dyDescent="0.25">
      <c r="Q634" s="234"/>
      <c r="V634" s="32"/>
      <c r="W634" s="32"/>
      <c r="X634" s="32"/>
      <c r="Y634" s="32"/>
      <c r="Z634" s="32"/>
      <c r="AA634" s="32"/>
    </row>
    <row r="635" spans="17:27" x14ac:dyDescent="0.25">
      <c r="Q635" s="234"/>
      <c r="V635" s="32"/>
      <c r="W635" s="32"/>
      <c r="X635" s="32"/>
      <c r="Y635" s="32"/>
      <c r="Z635" s="32"/>
      <c r="AA635" s="32"/>
    </row>
    <row r="636" spans="17:27" x14ac:dyDescent="0.25">
      <c r="Q636" s="234"/>
      <c r="V636" s="32"/>
      <c r="W636" s="32"/>
      <c r="X636" s="32"/>
      <c r="Y636" s="32"/>
      <c r="Z636" s="32"/>
      <c r="AA636" s="32"/>
    </row>
    <row r="637" spans="17:27" x14ac:dyDescent="0.25">
      <c r="Q637" s="234"/>
      <c r="V637" s="32"/>
      <c r="W637" s="32"/>
      <c r="X637" s="32"/>
      <c r="Y637" s="32"/>
      <c r="Z637" s="32"/>
      <c r="AA637" s="32"/>
    </row>
    <row r="638" spans="17:27" x14ac:dyDescent="0.25">
      <c r="Q638" s="234"/>
      <c r="V638" s="32"/>
      <c r="W638" s="32"/>
      <c r="X638" s="32"/>
      <c r="Y638" s="32"/>
      <c r="Z638" s="32"/>
      <c r="AA638" s="32"/>
    </row>
    <row r="639" spans="17:27" x14ac:dyDescent="0.25">
      <c r="Q639" s="234"/>
      <c r="V639" s="32"/>
      <c r="W639" s="32"/>
      <c r="X639" s="32"/>
      <c r="Y639" s="32"/>
      <c r="Z639" s="32"/>
      <c r="AA639" s="32"/>
    </row>
    <row r="640" spans="17:27" x14ac:dyDescent="0.25">
      <c r="Q640" s="234"/>
      <c r="V640" s="32"/>
      <c r="W640" s="32"/>
      <c r="X640" s="32"/>
      <c r="Y640" s="32"/>
      <c r="Z640" s="32"/>
      <c r="AA640" s="32"/>
    </row>
    <row r="641" spans="17:27" x14ac:dyDescent="0.25">
      <c r="Q641" s="234"/>
      <c r="V641" s="32"/>
      <c r="W641" s="32"/>
      <c r="X641" s="32"/>
      <c r="Y641" s="32"/>
      <c r="Z641" s="32"/>
      <c r="AA641" s="32"/>
    </row>
    <row r="642" spans="17:27" x14ac:dyDescent="0.25">
      <c r="Q642" s="234"/>
      <c r="V642" s="32"/>
      <c r="W642" s="32"/>
      <c r="X642" s="32"/>
      <c r="Y642" s="32"/>
      <c r="Z642" s="32"/>
      <c r="AA642" s="32"/>
    </row>
    <row r="643" spans="17:27" x14ac:dyDescent="0.25">
      <c r="Q643" s="234"/>
      <c r="V643" s="32"/>
      <c r="W643" s="32"/>
      <c r="X643" s="32"/>
      <c r="Y643" s="32"/>
      <c r="Z643" s="32"/>
      <c r="AA643" s="32"/>
    </row>
    <row r="644" spans="17:27" x14ac:dyDescent="0.25">
      <c r="Q644" s="234"/>
      <c r="V644" s="32"/>
      <c r="W644" s="32"/>
      <c r="X644" s="32"/>
      <c r="Y644" s="32"/>
      <c r="Z644" s="32"/>
      <c r="AA644" s="32"/>
    </row>
    <row r="645" spans="17:27" x14ac:dyDescent="0.25">
      <c r="Q645" s="234"/>
      <c r="V645" s="32"/>
      <c r="W645" s="32"/>
      <c r="X645" s="32"/>
      <c r="Y645" s="32"/>
      <c r="Z645" s="32"/>
      <c r="AA645" s="32"/>
    </row>
    <row r="646" spans="17:27" x14ac:dyDescent="0.25">
      <c r="Q646" s="234"/>
      <c r="V646" s="32"/>
      <c r="W646" s="32"/>
      <c r="X646" s="32"/>
      <c r="Y646" s="32"/>
      <c r="Z646" s="32"/>
      <c r="AA646" s="32"/>
    </row>
    <row r="647" spans="17:27" x14ac:dyDescent="0.25">
      <c r="Q647" s="234"/>
      <c r="V647" s="32"/>
      <c r="W647" s="32"/>
      <c r="X647" s="32"/>
      <c r="Y647" s="32"/>
      <c r="Z647" s="32"/>
      <c r="AA647" s="32"/>
    </row>
    <row r="648" spans="17:27" x14ac:dyDescent="0.25">
      <c r="Q648" s="234"/>
      <c r="V648" s="32"/>
      <c r="W648" s="32"/>
      <c r="X648" s="32"/>
      <c r="Y648" s="32"/>
      <c r="Z648" s="32"/>
      <c r="AA648" s="32"/>
    </row>
    <row r="649" spans="17:27" x14ac:dyDescent="0.25">
      <c r="Q649" s="234"/>
      <c r="V649" s="32"/>
      <c r="W649" s="32"/>
      <c r="X649" s="32"/>
      <c r="Y649" s="32"/>
      <c r="Z649" s="32"/>
      <c r="AA649" s="32"/>
    </row>
    <row r="650" spans="17:27" x14ac:dyDescent="0.25">
      <c r="Q650" s="234"/>
      <c r="V650" s="32"/>
      <c r="W650" s="32"/>
      <c r="X650" s="32"/>
      <c r="Y650" s="32"/>
      <c r="Z650" s="32"/>
      <c r="AA650" s="32"/>
    </row>
    <row r="651" spans="17:27" x14ac:dyDescent="0.25">
      <c r="Q651" s="234"/>
      <c r="V651" s="32"/>
      <c r="W651" s="32"/>
      <c r="X651" s="32"/>
      <c r="Y651" s="32"/>
      <c r="Z651" s="32"/>
      <c r="AA651" s="32"/>
    </row>
    <row r="652" spans="17:27" x14ac:dyDescent="0.25">
      <c r="Q652" s="234"/>
      <c r="V652" s="32"/>
      <c r="W652" s="32"/>
      <c r="X652" s="32"/>
      <c r="Y652" s="32"/>
      <c r="Z652" s="32"/>
      <c r="AA652" s="32"/>
    </row>
    <row r="653" spans="17:27" x14ac:dyDescent="0.25">
      <c r="Q653" s="234"/>
      <c r="V653" s="32"/>
      <c r="W653" s="32"/>
      <c r="X653" s="32"/>
      <c r="Y653" s="32"/>
      <c r="Z653" s="32"/>
      <c r="AA653" s="32"/>
    </row>
    <row r="654" spans="17:27" x14ac:dyDescent="0.25">
      <c r="Q654" s="234"/>
      <c r="V654" s="32"/>
      <c r="W654" s="32"/>
      <c r="X654" s="32"/>
      <c r="Y654" s="32"/>
      <c r="Z654" s="32"/>
      <c r="AA654" s="32"/>
    </row>
    <row r="655" spans="17:27" x14ac:dyDescent="0.25">
      <c r="Q655" s="234"/>
      <c r="V655" s="32"/>
      <c r="W655" s="32"/>
      <c r="X655" s="32"/>
      <c r="Y655" s="32"/>
      <c r="Z655" s="32"/>
      <c r="AA655" s="32"/>
    </row>
    <row r="656" spans="17:27" x14ac:dyDescent="0.25">
      <c r="Q656" s="234"/>
      <c r="V656" s="32"/>
      <c r="W656" s="32"/>
      <c r="X656" s="32"/>
      <c r="Y656" s="32"/>
      <c r="Z656" s="32"/>
      <c r="AA656" s="32"/>
    </row>
    <row r="657" spans="17:27" x14ac:dyDescent="0.25">
      <c r="Q657" s="234"/>
      <c r="V657" s="32"/>
      <c r="W657" s="32"/>
      <c r="X657" s="32"/>
      <c r="Y657" s="32"/>
      <c r="Z657" s="32"/>
      <c r="AA657" s="32"/>
    </row>
    <row r="658" spans="17:27" x14ac:dyDescent="0.25">
      <c r="Q658" s="234"/>
      <c r="V658" s="32"/>
      <c r="W658" s="32"/>
      <c r="X658" s="32"/>
      <c r="Y658" s="32"/>
      <c r="Z658" s="32"/>
      <c r="AA658" s="32"/>
    </row>
    <row r="659" spans="17:27" x14ac:dyDescent="0.25">
      <c r="Q659" s="234"/>
      <c r="V659" s="32"/>
      <c r="W659" s="32"/>
      <c r="X659" s="32"/>
      <c r="Y659" s="32"/>
      <c r="Z659" s="32"/>
      <c r="AA659" s="32"/>
    </row>
    <row r="660" spans="17:27" x14ac:dyDescent="0.25">
      <c r="Q660" s="234"/>
      <c r="V660" s="32"/>
      <c r="W660" s="32"/>
      <c r="X660" s="32"/>
      <c r="Y660" s="32"/>
      <c r="Z660" s="32"/>
      <c r="AA660" s="32"/>
    </row>
    <row r="661" spans="17:27" x14ac:dyDescent="0.25">
      <c r="Q661" s="234"/>
      <c r="V661" s="32"/>
      <c r="W661" s="32"/>
      <c r="X661" s="32"/>
      <c r="Y661" s="32"/>
      <c r="Z661" s="32"/>
      <c r="AA661" s="32"/>
    </row>
    <row r="662" spans="17:27" x14ac:dyDescent="0.25">
      <c r="Q662" s="234"/>
      <c r="V662" s="32"/>
      <c r="W662" s="32"/>
      <c r="X662" s="32"/>
      <c r="Y662" s="32"/>
      <c r="Z662" s="32"/>
      <c r="AA662" s="32"/>
    </row>
    <row r="663" spans="17:27" x14ac:dyDescent="0.25">
      <c r="Q663" s="234"/>
      <c r="V663" s="32"/>
      <c r="W663" s="32"/>
      <c r="X663" s="32"/>
      <c r="Y663" s="32"/>
      <c r="Z663" s="32"/>
      <c r="AA663" s="32"/>
    </row>
    <row r="664" spans="17:27" x14ac:dyDescent="0.25">
      <c r="Q664" s="234"/>
      <c r="V664" s="32"/>
      <c r="W664" s="32"/>
      <c r="X664" s="32"/>
      <c r="Y664" s="32"/>
      <c r="Z664" s="32"/>
      <c r="AA664" s="32"/>
    </row>
    <row r="665" spans="17:27" x14ac:dyDescent="0.25">
      <c r="Q665" s="234"/>
      <c r="V665" s="32"/>
      <c r="W665" s="32"/>
      <c r="X665" s="32"/>
      <c r="Y665" s="32"/>
      <c r="Z665" s="32"/>
      <c r="AA665" s="32"/>
    </row>
    <row r="666" spans="17:27" x14ac:dyDescent="0.25">
      <c r="Q666" s="234"/>
      <c r="V666" s="32"/>
      <c r="W666" s="32"/>
      <c r="X666" s="32"/>
      <c r="Y666" s="32"/>
      <c r="Z666" s="32"/>
      <c r="AA666" s="32"/>
    </row>
    <row r="667" spans="17:27" x14ac:dyDescent="0.25">
      <c r="Q667" s="234"/>
      <c r="V667" s="32"/>
      <c r="W667" s="32"/>
      <c r="X667" s="32"/>
      <c r="Y667" s="32"/>
      <c r="Z667" s="32"/>
      <c r="AA667" s="32"/>
    </row>
    <row r="668" spans="17:27" x14ac:dyDescent="0.25">
      <c r="Q668" s="234"/>
      <c r="V668" s="32"/>
      <c r="W668" s="32"/>
      <c r="X668" s="32"/>
      <c r="Y668" s="32"/>
      <c r="Z668" s="32"/>
      <c r="AA668" s="32"/>
    </row>
    <row r="669" spans="17:27" x14ac:dyDescent="0.25">
      <c r="Q669" s="234"/>
      <c r="V669" s="32"/>
      <c r="W669" s="32"/>
      <c r="X669" s="32"/>
      <c r="Y669" s="32"/>
      <c r="Z669" s="32"/>
      <c r="AA669" s="32"/>
    </row>
    <row r="670" spans="17:27" x14ac:dyDescent="0.25">
      <c r="Q670" s="234"/>
      <c r="V670" s="32"/>
      <c r="W670" s="32"/>
      <c r="X670" s="32"/>
      <c r="Y670" s="32"/>
      <c r="Z670" s="32"/>
      <c r="AA670" s="32"/>
    </row>
    <row r="671" spans="17:27" x14ac:dyDescent="0.25">
      <c r="Q671" s="234"/>
      <c r="V671" s="32"/>
      <c r="W671" s="32"/>
      <c r="X671" s="32"/>
      <c r="Y671" s="32"/>
      <c r="Z671" s="32"/>
      <c r="AA671" s="32"/>
    </row>
    <row r="672" spans="17:27" x14ac:dyDescent="0.25">
      <c r="Q672" s="234"/>
      <c r="V672" s="32"/>
      <c r="W672" s="32"/>
      <c r="X672" s="32"/>
      <c r="Y672" s="32"/>
      <c r="Z672" s="32"/>
      <c r="AA672" s="32"/>
    </row>
    <row r="673" spans="17:27" x14ac:dyDescent="0.25">
      <c r="Q673" s="234"/>
      <c r="V673" s="32"/>
      <c r="W673" s="32"/>
      <c r="X673" s="32"/>
      <c r="Y673" s="32"/>
      <c r="Z673" s="32"/>
      <c r="AA673" s="32"/>
    </row>
    <row r="674" spans="17:27" x14ac:dyDescent="0.25">
      <c r="Q674" s="234"/>
      <c r="V674" s="32"/>
      <c r="W674" s="32"/>
      <c r="X674" s="32"/>
      <c r="Y674" s="32"/>
      <c r="Z674" s="32"/>
      <c r="AA674" s="32"/>
    </row>
    <row r="675" spans="17:27" x14ac:dyDescent="0.25">
      <c r="Q675" s="234"/>
      <c r="V675" s="32"/>
      <c r="W675" s="32"/>
      <c r="X675" s="32"/>
      <c r="Y675" s="32"/>
      <c r="Z675" s="32"/>
      <c r="AA675" s="32"/>
    </row>
    <row r="676" spans="17:27" x14ac:dyDescent="0.25">
      <c r="Q676" s="234"/>
      <c r="V676" s="32"/>
      <c r="W676" s="32"/>
      <c r="X676" s="32"/>
      <c r="Y676" s="32"/>
      <c r="Z676" s="32"/>
      <c r="AA676" s="32"/>
    </row>
    <row r="677" spans="17:27" x14ac:dyDescent="0.25">
      <c r="Q677" s="234"/>
      <c r="V677" s="32"/>
      <c r="W677" s="32"/>
      <c r="X677" s="32"/>
      <c r="Y677" s="32"/>
      <c r="Z677" s="32"/>
      <c r="AA677" s="32"/>
    </row>
    <row r="678" spans="17:27" x14ac:dyDescent="0.25">
      <c r="Q678" s="234"/>
      <c r="V678" s="32"/>
      <c r="W678" s="32"/>
      <c r="X678" s="32"/>
      <c r="Y678" s="32"/>
      <c r="Z678" s="32"/>
      <c r="AA678" s="32"/>
    </row>
    <row r="679" spans="17:27" x14ac:dyDescent="0.25">
      <c r="Q679" s="234"/>
      <c r="V679" s="32"/>
      <c r="W679" s="32"/>
      <c r="X679" s="32"/>
      <c r="Y679" s="32"/>
      <c r="Z679" s="32"/>
      <c r="AA679" s="32"/>
    </row>
    <row r="680" spans="17:27" x14ac:dyDescent="0.25">
      <c r="Q680" s="234"/>
      <c r="V680" s="32"/>
      <c r="W680" s="32"/>
      <c r="X680" s="32"/>
      <c r="Y680" s="32"/>
      <c r="Z680" s="32"/>
      <c r="AA680" s="32"/>
    </row>
    <row r="681" spans="17:27" x14ac:dyDescent="0.25">
      <c r="Q681" s="234"/>
      <c r="V681" s="32"/>
      <c r="W681" s="32"/>
      <c r="X681" s="32"/>
      <c r="Y681" s="32"/>
      <c r="Z681" s="32"/>
      <c r="AA681" s="32"/>
    </row>
    <row r="682" spans="17:27" x14ac:dyDescent="0.25">
      <c r="Q682" s="234"/>
      <c r="V682" s="32"/>
      <c r="W682" s="32"/>
      <c r="X682" s="32"/>
      <c r="Y682" s="32"/>
      <c r="Z682" s="32"/>
      <c r="AA682" s="32"/>
    </row>
    <row r="683" spans="17:27" x14ac:dyDescent="0.25">
      <c r="Q683" s="234"/>
      <c r="V683" s="32"/>
      <c r="W683" s="32"/>
      <c r="X683" s="32"/>
      <c r="Y683" s="32"/>
      <c r="Z683" s="32"/>
      <c r="AA683" s="32"/>
    </row>
    <row r="684" spans="17:27" x14ac:dyDescent="0.25">
      <c r="Q684" s="234"/>
      <c r="V684" s="32"/>
      <c r="W684" s="32"/>
      <c r="X684" s="32"/>
      <c r="Y684" s="32"/>
      <c r="Z684" s="32"/>
      <c r="AA684" s="32"/>
    </row>
    <row r="685" spans="17:27" x14ac:dyDescent="0.25">
      <c r="Q685" s="234"/>
      <c r="V685" s="32"/>
      <c r="W685" s="32"/>
      <c r="X685" s="32"/>
      <c r="Y685" s="32"/>
      <c r="Z685" s="32"/>
      <c r="AA685" s="32"/>
    </row>
    <row r="686" spans="17:27" x14ac:dyDescent="0.25">
      <c r="Q686" s="234"/>
      <c r="V686" s="32"/>
      <c r="W686" s="32"/>
      <c r="X686" s="32"/>
      <c r="Y686" s="32"/>
      <c r="Z686" s="32"/>
      <c r="AA686" s="32"/>
    </row>
    <row r="687" spans="17:27" x14ac:dyDescent="0.25">
      <c r="Q687" s="234"/>
      <c r="V687" s="32"/>
      <c r="W687" s="32"/>
      <c r="X687" s="32"/>
      <c r="Y687" s="32"/>
      <c r="Z687" s="32"/>
      <c r="AA687" s="32"/>
    </row>
    <row r="688" spans="17:27" x14ac:dyDescent="0.25">
      <c r="Q688" s="234"/>
      <c r="V688" s="32"/>
      <c r="W688" s="32"/>
      <c r="X688" s="32"/>
      <c r="Y688" s="32"/>
      <c r="Z688" s="32"/>
      <c r="AA688" s="32"/>
    </row>
    <row r="689" spans="17:27" x14ac:dyDescent="0.25">
      <c r="Q689" s="234"/>
      <c r="V689" s="32"/>
      <c r="W689" s="32"/>
      <c r="X689" s="32"/>
      <c r="Y689" s="32"/>
      <c r="Z689" s="32"/>
      <c r="AA689" s="32"/>
    </row>
    <row r="690" spans="17:27" x14ac:dyDescent="0.25">
      <c r="Q690" s="234"/>
      <c r="V690" s="32"/>
      <c r="W690" s="32"/>
      <c r="X690" s="32"/>
      <c r="Y690" s="32"/>
      <c r="Z690" s="32"/>
      <c r="AA690" s="32"/>
    </row>
    <row r="691" spans="17:27" x14ac:dyDescent="0.25">
      <c r="Q691" s="234"/>
      <c r="V691" s="32"/>
      <c r="W691" s="32"/>
      <c r="X691" s="32"/>
      <c r="Y691" s="32"/>
      <c r="Z691" s="32"/>
      <c r="AA691" s="32"/>
    </row>
    <row r="692" spans="17:27" x14ac:dyDescent="0.25">
      <c r="Q692" s="234"/>
      <c r="V692" s="32"/>
      <c r="W692" s="32"/>
      <c r="X692" s="32"/>
      <c r="Y692" s="32"/>
      <c r="Z692" s="32"/>
      <c r="AA692" s="32"/>
    </row>
    <row r="693" spans="17:27" x14ac:dyDescent="0.25">
      <c r="Q693" s="234"/>
      <c r="V693" s="32"/>
      <c r="W693" s="32"/>
      <c r="X693" s="32"/>
      <c r="Y693" s="32"/>
      <c r="Z693" s="32"/>
      <c r="AA693" s="32"/>
    </row>
    <row r="694" spans="17:27" x14ac:dyDescent="0.25">
      <c r="Q694" s="234"/>
      <c r="V694" s="32"/>
      <c r="W694" s="32"/>
      <c r="X694" s="32"/>
      <c r="Y694" s="32"/>
      <c r="Z694" s="32"/>
      <c r="AA694" s="32"/>
    </row>
    <row r="695" spans="17:27" x14ac:dyDescent="0.25">
      <c r="Q695" s="234"/>
      <c r="V695" s="32"/>
      <c r="W695" s="32"/>
      <c r="X695" s="32"/>
      <c r="Y695" s="32"/>
      <c r="Z695" s="32"/>
      <c r="AA695" s="32"/>
    </row>
    <row r="696" spans="17:27" x14ac:dyDescent="0.25">
      <c r="Q696" s="234"/>
      <c r="V696" s="32"/>
      <c r="W696" s="32"/>
      <c r="X696" s="32"/>
      <c r="Y696" s="32"/>
      <c r="Z696" s="32"/>
      <c r="AA696" s="32"/>
    </row>
    <row r="697" spans="17:27" x14ac:dyDescent="0.25">
      <c r="Q697" s="234"/>
      <c r="V697" s="32"/>
      <c r="W697" s="32"/>
      <c r="X697" s="32"/>
      <c r="Y697" s="32"/>
      <c r="Z697" s="32"/>
      <c r="AA697" s="32"/>
    </row>
    <row r="698" spans="17:27" x14ac:dyDescent="0.25">
      <c r="Q698" s="234"/>
      <c r="V698" s="32"/>
      <c r="W698" s="32"/>
      <c r="X698" s="32"/>
      <c r="Y698" s="32"/>
      <c r="Z698" s="32"/>
      <c r="AA698" s="32"/>
    </row>
    <row r="699" spans="17:27" x14ac:dyDescent="0.25">
      <c r="Q699" s="234"/>
      <c r="V699" s="32"/>
      <c r="W699" s="32"/>
      <c r="X699" s="32"/>
      <c r="Y699" s="32"/>
      <c r="Z699" s="32"/>
      <c r="AA699" s="32"/>
    </row>
    <row r="700" spans="17:27" x14ac:dyDescent="0.25">
      <c r="Q700" s="234"/>
      <c r="V700" s="32"/>
      <c r="W700" s="32"/>
      <c r="X700" s="32"/>
      <c r="Y700" s="32"/>
      <c r="Z700" s="32"/>
      <c r="AA700" s="32"/>
    </row>
    <row r="701" spans="17:27" x14ac:dyDescent="0.25">
      <c r="Q701" s="234"/>
      <c r="V701" s="32"/>
      <c r="W701" s="32"/>
      <c r="X701" s="32"/>
      <c r="Y701" s="32"/>
      <c r="Z701" s="32"/>
      <c r="AA701" s="32"/>
    </row>
    <row r="702" spans="17:27" x14ac:dyDescent="0.25">
      <c r="Q702" s="234"/>
      <c r="V702" s="32"/>
      <c r="W702" s="32"/>
      <c r="X702" s="32"/>
      <c r="Y702" s="32"/>
      <c r="Z702" s="32"/>
      <c r="AA702" s="32"/>
    </row>
    <row r="703" spans="17:27" x14ac:dyDescent="0.25">
      <c r="Q703" s="234"/>
      <c r="V703" s="32"/>
      <c r="W703" s="32"/>
      <c r="X703" s="32"/>
      <c r="Y703" s="32"/>
      <c r="Z703" s="32"/>
      <c r="AA703" s="32"/>
    </row>
    <row r="704" spans="17:27" x14ac:dyDescent="0.25">
      <c r="Q704" s="234"/>
      <c r="V704" s="32"/>
      <c r="W704" s="32"/>
      <c r="X704" s="32"/>
      <c r="Y704" s="32"/>
      <c r="Z704" s="32"/>
      <c r="AA704" s="32"/>
    </row>
    <row r="705" spans="17:27" x14ac:dyDescent="0.25">
      <c r="Q705" s="234"/>
      <c r="V705" s="32"/>
      <c r="W705" s="32"/>
      <c r="X705" s="32"/>
      <c r="Y705" s="32"/>
      <c r="Z705" s="32"/>
      <c r="AA705" s="32"/>
    </row>
    <row r="706" spans="17:27" x14ac:dyDescent="0.25">
      <c r="Q706" s="234"/>
      <c r="V706" s="32"/>
      <c r="W706" s="32"/>
      <c r="X706" s="32"/>
      <c r="Y706" s="32"/>
      <c r="Z706" s="32"/>
      <c r="AA706" s="32"/>
    </row>
    <row r="707" spans="17:27" x14ac:dyDescent="0.25">
      <c r="Q707" s="234"/>
      <c r="V707" s="32"/>
      <c r="W707" s="32"/>
      <c r="X707" s="32"/>
      <c r="Y707" s="32"/>
      <c r="Z707" s="32"/>
      <c r="AA707" s="32"/>
    </row>
    <row r="708" spans="17:27" x14ac:dyDescent="0.25">
      <c r="Q708" s="234"/>
      <c r="V708" s="32"/>
      <c r="W708" s="32"/>
      <c r="X708" s="32"/>
      <c r="Y708" s="32"/>
      <c r="Z708" s="32"/>
      <c r="AA708" s="32"/>
    </row>
    <row r="709" spans="17:27" x14ac:dyDescent="0.25">
      <c r="Q709" s="234"/>
      <c r="V709" s="32"/>
      <c r="W709" s="32"/>
      <c r="X709" s="32"/>
      <c r="Y709" s="32"/>
      <c r="Z709" s="32"/>
      <c r="AA709" s="32"/>
    </row>
    <row r="710" spans="17:27" x14ac:dyDescent="0.25">
      <c r="Q710" s="234"/>
      <c r="V710" s="32"/>
      <c r="W710" s="32"/>
      <c r="X710" s="32"/>
      <c r="Y710" s="32"/>
      <c r="Z710" s="32"/>
      <c r="AA710" s="32"/>
    </row>
    <row r="711" spans="17:27" x14ac:dyDescent="0.25">
      <c r="Q711" s="234"/>
      <c r="V711" s="32"/>
      <c r="W711" s="32"/>
      <c r="X711" s="32"/>
      <c r="Y711" s="32"/>
      <c r="Z711" s="32"/>
      <c r="AA711" s="32"/>
    </row>
    <row r="712" spans="17:27" x14ac:dyDescent="0.25">
      <c r="Q712" s="234"/>
      <c r="V712" s="32"/>
      <c r="W712" s="32"/>
      <c r="X712" s="32"/>
      <c r="Y712" s="32"/>
      <c r="Z712" s="32"/>
      <c r="AA712" s="32"/>
    </row>
    <row r="713" spans="17:27" x14ac:dyDescent="0.25">
      <c r="Q713" s="234"/>
      <c r="V713" s="32"/>
      <c r="W713" s="32"/>
      <c r="X713" s="32"/>
      <c r="Y713" s="32"/>
      <c r="Z713" s="32"/>
      <c r="AA713" s="32"/>
    </row>
    <row r="714" spans="17:27" x14ac:dyDescent="0.25">
      <c r="Q714" s="234"/>
      <c r="V714" s="32"/>
      <c r="W714" s="32"/>
      <c r="X714" s="32"/>
      <c r="Y714" s="32"/>
      <c r="Z714" s="32"/>
      <c r="AA714" s="32"/>
    </row>
    <row r="715" spans="17:27" x14ac:dyDescent="0.25">
      <c r="Q715" s="234"/>
      <c r="V715" s="32"/>
      <c r="W715" s="32"/>
      <c r="X715" s="32"/>
      <c r="Y715" s="32"/>
      <c r="Z715" s="32"/>
      <c r="AA715" s="32"/>
    </row>
    <row r="716" spans="17:27" x14ac:dyDescent="0.25">
      <c r="Q716" s="234"/>
      <c r="V716" s="32"/>
      <c r="W716" s="32"/>
      <c r="X716" s="32"/>
      <c r="Y716" s="32"/>
      <c r="Z716" s="32"/>
      <c r="AA716" s="32"/>
    </row>
    <row r="717" spans="17:27" x14ac:dyDescent="0.25">
      <c r="Q717" s="234"/>
      <c r="V717" s="32"/>
      <c r="W717" s="32"/>
      <c r="X717" s="32"/>
      <c r="Y717" s="32"/>
      <c r="Z717" s="32"/>
      <c r="AA717" s="32"/>
    </row>
    <row r="718" spans="17:27" x14ac:dyDescent="0.25">
      <c r="Q718" s="234"/>
      <c r="V718" s="32"/>
      <c r="W718" s="32"/>
      <c r="X718" s="32"/>
      <c r="Y718" s="32"/>
      <c r="Z718" s="32"/>
      <c r="AA718" s="32"/>
    </row>
    <row r="719" spans="17:27" x14ac:dyDescent="0.25">
      <c r="Q719" s="234"/>
      <c r="V719" s="32"/>
      <c r="W719" s="32"/>
      <c r="X719" s="32"/>
      <c r="Y719" s="32"/>
      <c r="Z719" s="32"/>
      <c r="AA719" s="32"/>
    </row>
    <row r="720" spans="17:27" x14ac:dyDescent="0.25">
      <c r="Q720" s="234"/>
      <c r="V720" s="32"/>
      <c r="W720" s="32"/>
      <c r="X720" s="32"/>
      <c r="Y720" s="32"/>
      <c r="Z720" s="32"/>
      <c r="AA720" s="32"/>
    </row>
    <row r="721" spans="17:27" x14ac:dyDescent="0.25">
      <c r="Q721" s="234"/>
      <c r="V721" s="32"/>
      <c r="W721" s="32"/>
      <c r="X721" s="32"/>
      <c r="Y721" s="32"/>
      <c r="Z721" s="32"/>
      <c r="AA721" s="32"/>
    </row>
    <row r="722" spans="17:27" x14ac:dyDescent="0.25">
      <c r="Q722" s="234"/>
      <c r="V722" s="32"/>
      <c r="W722" s="32"/>
      <c r="X722" s="32"/>
      <c r="Y722" s="32"/>
      <c r="Z722" s="32"/>
      <c r="AA722" s="32"/>
    </row>
    <row r="723" spans="17:27" x14ac:dyDescent="0.25">
      <c r="Q723" s="234"/>
      <c r="V723" s="32"/>
      <c r="W723" s="32"/>
      <c r="X723" s="32"/>
      <c r="Y723" s="32"/>
      <c r="Z723" s="32"/>
      <c r="AA723" s="32"/>
    </row>
    <row r="724" spans="17:27" x14ac:dyDescent="0.25">
      <c r="Q724" s="234"/>
      <c r="V724" s="32"/>
      <c r="W724" s="32"/>
      <c r="X724" s="32"/>
      <c r="Y724" s="32"/>
      <c r="Z724" s="32"/>
      <c r="AA724" s="32"/>
    </row>
    <row r="725" spans="17:27" x14ac:dyDescent="0.25">
      <c r="Q725" s="234"/>
      <c r="V725" s="32"/>
      <c r="W725" s="32"/>
      <c r="X725" s="32"/>
      <c r="Y725" s="32"/>
      <c r="Z725" s="32"/>
      <c r="AA725" s="32"/>
    </row>
    <row r="726" spans="17:27" x14ac:dyDescent="0.25">
      <c r="Q726" s="234"/>
      <c r="V726" s="32"/>
      <c r="W726" s="32"/>
      <c r="X726" s="32"/>
      <c r="Y726" s="32"/>
      <c r="Z726" s="32"/>
      <c r="AA726" s="32"/>
    </row>
    <row r="727" spans="17:27" x14ac:dyDescent="0.25">
      <c r="Q727" s="234"/>
      <c r="V727" s="32"/>
      <c r="W727" s="32"/>
      <c r="X727" s="32"/>
      <c r="Y727" s="32"/>
      <c r="Z727" s="32"/>
      <c r="AA727" s="32"/>
    </row>
    <row r="728" spans="17:27" x14ac:dyDescent="0.25">
      <c r="Q728" s="234"/>
      <c r="V728" s="32"/>
      <c r="W728" s="32"/>
      <c r="X728" s="32"/>
      <c r="Y728" s="32"/>
      <c r="Z728" s="32"/>
      <c r="AA728" s="32"/>
    </row>
    <row r="729" spans="17:27" x14ac:dyDescent="0.25">
      <c r="Q729" s="234"/>
      <c r="V729" s="32"/>
      <c r="W729" s="32"/>
      <c r="X729" s="32"/>
      <c r="Y729" s="32"/>
      <c r="Z729" s="32"/>
      <c r="AA729" s="32"/>
    </row>
    <row r="730" spans="17:27" x14ac:dyDescent="0.25">
      <c r="Q730" s="234"/>
      <c r="V730" s="32"/>
      <c r="W730" s="32"/>
      <c r="X730" s="32"/>
      <c r="Y730" s="32"/>
      <c r="Z730" s="32"/>
      <c r="AA730" s="32"/>
    </row>
    <row r="731" spans="17:27" x14ac:dyDescent="0.25">
      <c r="Q731" s="234"/>
      <c r="V731" s="32"/>
      <c r="W731" s="32"/>
      <c r="X731" s="32"/>
      <c r="Y731" s="32"/>
      <c r="Z731" s="32"/>
      <c r="AA731" s="32"/>
    </row>
    <row r="732" spans="17:27" x14ac:dyDescent="0.25">
      <c r="Q732" s="234"/>
      <c r="V732" s="32"/>
      <c r="W732" s="32"/>
      <c r="X732" s="32"/>
      <c r="Y732" s="32"/>
      <c r="Z732" s="32"/>
      <c r="AA732" s="32"/>
    </row>
    <row r="733" spans="17:27" x14ac:dyDescent="0.25">
      <c r="Q733" s="234"/>
      <c r="V733" s="32"/>
      <c r="W733" s="32"/>
      <c r="X733" s="32"/>
      <c r="Y733" s="32"/>
      <c r="Z733" s="32"/>
      <c r="AA733" s="32"/>
    </row>
    <row r="734" spans="17:27" x14ac:dyDescent="0.25">
      <c r="Q734" s="234"/>
      <c r="V734" s="32"/>
      <c r="W734" s="32"/>
      <c r="X734" s="32"/>
      <c r="Y734" s="32"/>
      <c r="Z734" s="32"/>
      <c r="AA734" s="32"/>
    </row>
    <row r="735" spans="17:27" x14ac:dyDescent="0.25">
      <c r="Q735" s="234"/>
      <c r="V735" s="32"/>
      <c r="W735" s="32"/>
      <c r="X735" s="32"/>
      <c r="Y735" s="32"/>
      <c r="Z735" s="32"/>
      <c r="AA735" s="32"/>
    </row>
    <row r="736" spans="17:27" x14ac:dyDescent="0.25">
      <c r="Q736" s="234"/>
      <c r="V736" s="32"/>
      <c r="W736" s="32"/>
      <c r="X736" s="32"/>
      <c r="Y736" s="32"/>
      <c r="Z736" s="32"/>
      <c r="AA736" s="32"/>
    </row>
    <row r="737" spans="17:27" x14ac:dyDescent="0.25">
      <c r="Q737" s="234"/>
      <c r="V737" s="32"/>
      <c r="W737" s="32"/>
      <c r="X737" s="32"/>
      <c r="Y737" s="32"/>
      <c r="Z737" s="32"/>
      <c r="AA737" s="32"/>
    </row>
    <row r="738" spans="17:27" x14ac:dyDescent="0.25">
      <c r="Q738" s="234"/>
      <c r="V738" s="32"/>
      <c r="W738" s="32"/>
      <c r="X738" s="32"/>
      <c r="Y738" s="32"/>
      <c r="Z738" s="32"/>
      <c r="AA738" s="32"/>
    </row>
    <row r="739" spans="17:27" x14ac:dyDescent="0.25">
      <c r="Q739" s="234"/>
      <c r="V739" s="32"/>
      <c r="W739" s="32"/>
      <c r="X739" s="32"/>
      <c r="Y739" s="32"/>
      <c r="Z739" s="32"/>
      <c r="AA739" s="32"/>
    </row>
    <row r="740" spans="17:27" x14ac:dyDescent="0.25">
      <c r="Q740" s="234"/>
      <c r="V740" s="32"/>
      <c r="W740" s="32"/>
      <c r="X740" s="32"/>
      <c r="Y740" s="32"/>
      <c r="Z740" s="32"/>
      <c r="AA740" s="32"/>
    </row>
    <row r="741" spans="17:27" x14ac:dyDescent="0.25">
      <c r="Q741" s="234"/>
      <c r="V741" s="32"/>
      <c r="W741" s="32"/>
      <c r="X741" s="32"/>
      <c r="Y741" s="32"/>
      <c r="Z741" s="32"/>
      <c r="AA741" s="32"/>
    </row>
    <row r="742" spans="17:27" x14ac:dyDescent="0.25">
      <c r="Q742" s="234"/>
      <c r="V742" s="32"/>
      <c r="W742" s="32"/>
      <c r="X742" s="32"/>
      <c r="Y742" s="32"/>
      <c r="Z742" s="32"/>
      <c r="AA742" s="32"/>
    </row>
    <row r="743" spans="17:27" x14ac:dyDescent="0.25">
      <c r="Q743" s="234"/>
      <c r="V743" s="32"/>
      <c r="W743" s="32"/>
      <c r="X743" s="32"/>
      <c r="Y743" s="32"/>
      <c r="Z743" s="32"/>
      <c r="AA743" s="32"/>
    </row>
    <row r="744" spans="17:27" x14ac:dyDescent="0.25">
      <c r="Q744" s="234"/>
      <c r="V744" s="32"/>
      <c r="W744" s="32"/>
      <c r="X744" s="32"/>
      <c r="Y744" s="32"/>
      <c r="Z744" s="32"/>
      <c r="AA744" s="32"/>
    </row>
    <row r="745" spans="17:27" x14ac:dyDescent="0.25">
      <c r="Q745" s="234"/>
      <c r="V745" s="32"/>
      <c r="W745" s="32"/>
      <c r="X745" s="32"/>
      <c r="Y745" s="32"/>
      <c r="Z745" s="32"/>
      <c r="AA745" s="32"/>
    </row>
    <row r="746" spans="17:27" x14ac:dyDescent="0.25">
      <c r="Q746" s="234"/>
      <c r="V746" s="32"/>
      <c r="W746" s="32"/>
      <c r="X746" s="32"/>
      <c r="Y746" s="32"/>
      <c r="Z746" s="32"/>
      <c r="AA746" s="32"/>
    </row>
    <row r="747" spans="17:27" x14ac:dyDescent="0.25">
      <c r="Q747" s="234"/>
      <c r="V747" s="32"/>
      <c r="W747" s="32"/>
      <c r="X747" s="32"/>
      <c r="Y747" s="32"/>
      <c r="Z747" s="32"/>
      <c r="AA747" s="32"/>
    </row>
  </sheetData>
  <sheetProtection sheet="1" objects="1" scenarios="1"/>
  <autoFilter ref="A1:BL141"/>
  <sortState ref="A2:BL809">
    <sortCondition ref="A2:A809"/>
    <sortCondition ref="D2:D809"/>
    <sortCondition ref="F2:F809"/>
  </sortState>
  <printOptions gridLines="1"/>
  <pageMargins left="0.74803149606299213" right="0.74803149606299213" top="0.98425196850393704" bottom="0.98425196850393704" header="0.51181102362204722" footer="0.51181102362204722"/>
  <pageSetup paperSize="9" scale="2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rgb="FFC00000"/>
    <pageSetUpPr fitToPage="1"/>
  </sheetPr>
  <dimension ref="A1:S8"/>
  <sheetViews>
    <sheetView workbookViewId="0">
      <selection activeCell="E4" sqref="E4:F4"/>
    </sheetView>
  </sheetViews>
  <sheetFormatPr defaultColWidth="8.85546875" defaultRowHeight="15" x14ac:dyDescent="0.25"/>
  <cols>
    <col min="1" max="1" width="22.28515625" bestFit="1" customWidth="1"/>
    <col min="2" max="2" width="22.28515625" customWidth="1"/>
  </cols>
  <sheetData>
    <row r="1" spans="1:19" ht="15.75" thickTop="1" x14ac:dyDescent="0.25">
      <c r="A1" s="52" t="s">
        <v>300</v>
      </c>
      <c r="B1" s="105"/>
      <c r="C1" s="53" t="s">
        <v>301</v>
      </c>
      <c r="D1" s="54" t="s">
        <v>65</v>
      </c>
      <c r="E1" s="53" t="s">
        <v>302</v>
      </c>
      <c r="F1" s="53" t="s">
        <v>306</v>
      </c>
      <c r="G1" s="53" t="s">
        <v>303</v>
      </c>
      <c r="H1" s="53" t="s">
        <v>304</v>
      </c>
      <c r="I1" s="54" t="s">
        <v>66</v>
      </c>
      <c r="J1" s="53" t="s">
        <v>305</v>
      </c>
      <c r="K1" s="104" t="s">
        <v>439</v>
      </c>
      <c r="L1" s="104" t="s">
        <v>284</v>
      </c>
      <c r="M1" s="55" t="s">
        <v>307</v>
      </c>
      <c r="N1" s="55" t="s">
        <v>348</v>
      </c>
      <c r="P1" s="48"/>
      <c r="Q1" s="48"/>
      <c r="R1" s="48"/>
      <c r="S1" s="48"/>
    </row>
    <row r="2" spans="1:19" x14ac:dyDescent="0.25">
      <c r="A2" s="298" t="s">
        <v>59</v>
      </c>
      <c r="B2" s="299"/>
      <c r="C2" s="332">
        <v>48895</v>
      </c>
      <c r="D2" s="332">
        <v>19097</v>
      </c>
      <c r="E2" s="332">
        <v>45856</v>
      </c>
      <c r="F2" s="332">
        <v>24104</v>
      </c>
      <c r="G2" s="332">
        <v>31433</v>
      </c>
      <c r="H2" s="332">
        <v>19863</v>
      </c>
      <c r="I2" s="332">
        <v>19097</v>
      </c>
      <c r="J2" s="332">
        <v>19863</v>
      </c>
      <c r="K2" s="352">
        <v>24740</v>
      </c>
      <c r="L2" s="352">
        <v>19097</v>
      </c>
      <c r="M2" s="333">
        <v>16181</v>
      </c>
      <c r="N2" s="333">
        <v>38819</v>
      </c>
      <c r="P2" s="15"/>
      <c r="Q2" s="15"/>
      <c r="R2" s="49"/>
      <c r="S2" s="49"/>
    </row>
    <row r="3" spans="1:19" x14ac:dyDescent="0.25">
      <c r="A3" s="298" t="s">
        <v>60</v>
      </c>
      <c r="B3" s="299"/>
      <c r="C3" s="332">
        <v>58097</v>
      </c>
      <c r="D3" s="332">
        <v>16075</v>
      </c>
      <c r="E3" s="332">
        <v>34830</v>
      </c>
      <c r="F3" s="332">
        <v>31432</v>
      </c>
      <c r="G3" s="332">
        <v>65018</v>
      </c>
      <c r="H3" s="332">
        <v>35472</v>
      </c>
      <c r="I3" s="332">
        <v>16075</v>
      </c>
      <c r="J3" s="332">
        <v>35472</v>
      </c>
      <c r="K3" s="332">
        <v>27503</v>
      </c>
      <c r="L3" s="332">
        <v>16075</v>
      </c>
      <c r="M3" s="333">
        <v>27441</v>
      </c>
      <c r="N3" s="333">
        <v>38732</v>
      </c>
    </row>
    <row r="4" spans="1:19" s="1" customFormat="1" ht="15.75" x14ac:dyDescent="0.25">
      <c r="A4" s="300" t="s">
        <v>597</v>
      </c>
      <c r="B4" s="301"/>
      <c r="C4" s="334">
        <f t="shared" ref="C4:N4" si="0">SUM(C2:C3)</f>
        <v>106992</v>
      </c>
      <c r="D4" s="334">
        <f t="shared" si="0"/>
        <v>35172</v>
      </c>
      <c r="E4" s="334">
        <f t="shared" si="0"/>
        <v>80686</v>
      </c>
      <c r="F4" s="334">
        <f t="shared" si="0"/>
        <v>55536</v>
      </c>
      <c r="G4" s="334">
        <f t="shared" si="0"/>
        <v>96451</v>
      </c>
      <c r="H4" s="334">
        <f t="shared" si="0"/>
        <v>55335</v>
      </c>
      <c r="I4" s="334">
        <f t="shared" si="0"/>
        <v>35172</v>
      </c>
      <c r="J4" s="334">
        <f t="shared" si="0"/>
        <v>55335</v>
      </c>
      <c r="K4" s="334">
        <f t="shared" si="0"/>
        <v>52243</v>
      </c>
      <c r="L4" s="334">
        <f t="shared" si="0"/>
        <v>35172</v>
      </c>
      <c r="M4" s="335">
        <f t="shared" si="0"/>
        <v>43622</v>
      </c>
      <c r="N4" s="335">
        <f t="shared" si="0"/>
        <v>77551</v>
      </c>
      <c r="R4" s="1" t="s">
        <v>362</v>
      </c>
    </row>
    <row r="5" spans="1:19" x14ac:dyDescent="0.25">
      <c r="A5" s="302" t="s">
        <v>310</v>
      </c>
      <c r="B5" s="303"/>
      <c r="C5" s="336">
        <v>70300</v>
      </c>
      <c r="D5" s="336">
        <v>5900</v>
      </c>
      <c r="E5" s="336">
        <v>35200</v>
      </c>
      <c r="F5" s="336">
        <v>5900</v>
      </c>
      <c r="G5" s="336">
        <v>71400</v>
      </c>
      <c r="H5" s="336">
        <v>22200</v>
      </c>
      <c r="I5" s="336">
        <v>5900</v>
      </c>
      <c r="J5" s="336">
        <v>22200</v>
      </c>
      <c r="K5" s="353">
        <v>3500</v>
      </c>
      <c r="L5" s="353">
        <v>5900</v>
      </c>
      <c r="M5" s="337">
        <v>17600</v>
      </c>
      <c r="N5" s="337">
        <v>5900</v>
      </c>
      <c r="R5" s="19">
        <v>7.0000000000000007E-2</v>
      </c>
    </row>
    <row r="6" spans="1:19" ht="16.5" thickBot="1" x14ac:dyDescent="0.3">
      <c r="A6" s="50" t="s">
        <v>597</v>
      </c>
      <c r="B6" s="106"/>
      <c r="C6" s="51">
        <f>SUM(C4:C5)</f>
        <v>177292</v>
      </c>
      <c r="D6" s="51">
        <f t="shared" ref="D6:N6" si="1">SUM(D4:D5)</f>
        <v>41072</v>
      </c>
      <c r="E6" s="51">
        <f t="shared" si="1"/>
        <v>115886</v>
      </c>
      <c r="F6" s="51">
        <f t="shared" si="1"/>
        <v>61436</v>
      </c>
      <c r="G6" s="51">
        <f t="shared" si="1"/>
        <v>167851</v>
      </c>
      <c r="H6" s="51">
        <f t="shared" si="1"/>
        <v>77535</v>
      </c>
      <c r="I6" s="51">
        <f t="shared" si="1"/>
        <v>41072</v>
      </c>
      <c r="J6" s="51">
        <f t="shared" si="1"/>
        <v>77535</v>
      </c>
      <c r="K6" s="51">
        <f t="shared" si="1"/>
        <v>55743</v>
      </c>
      <c r="L6" s="51">
        <f t="shared" si="1"/>
        <v>41072</v>
      </c>
      <c r="M6" s="51">
        <f t="shared" si="1"/>
        <v>61222</v>
      </c>
      <c r="N6" s="51">
        <f t="shared" si="1"/>
        <v>83451</v>
      </c>
    </row>
    <row r="7" spans="1:19" ht="15.75" thickTop="1" x14ac:dyDescent="0.25">
      <c r="A7" s="45"/>
      <c r="B7" s="45"/>
      <c r="C7" s="47"/>
      <c r="D7" s="46"/>
      <c r="E7" s="46"/>
      <c r="F7" s="44"/>
    </row>
    <row r="8" spans="1:19" x14ac:dyDescent="0.25">
      <c r="A8" s="45"/>
      <c r="B8" s="45"/>
      <c r="C8" s="62"/>
      <c r="D8" s="62"/>
      <c r="E8" s="62"/>
      <c r="F8" s="44"/>
      <c r="G8" s="63"/>
      <c r="H8" s="63"/>
      <c r="I8" s="63"/>
      <c r="J8" s="63"/>
      <c r="K8" s="63"/>
      <c r="L8" s="63"/>
      <c r="M8" s="63"/>
      <c r="N8" s="63"/>
    </row>
  </sheetData>
  <sheetProtection sheet="1" objects="1" scenarios="1"/>
  <sortState ref="A22:E30">
    <sortCondition ref="A22:A30"/>
  </sortState>
  <phoneticPr fontId="13" type="noConversion"/>
  <pageMargins left="0.74803149606299213" right="0.74803149606299213" top="0.98425196850393704" bottom="0.98425196850393704" header="0.51181102362204722" footer="0.51181102362204722"/>
  <pageSetup paperSize="9" scale="68" orientation="landscape" r:id="rId1"/>
  <headerFooter alignWithMargins="0">
    <oddHeader>&amp;R&amp;F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tabColor rgb="FFC00000"/>
    <pageSetUpPr fitToPage="1"/>
  </sheetPr>
  <dimension ref="A1:Z304"/>
  <sheetViews>
    <sheetView workbookViewId="0">
      <pane ySplit="1" topLeftCell="A2" activePane="bottomLeft" state="frozen"/>
      <selection activeCell="A6" sqref="A6"/>
      <selection pane="bottomLeft" activeCell="R130" sqref="R130"/>
    </sheetView>
  </sheetViews>
  <sheetFormatPr defaultColWidth="8.85546875" defaultRowHeight="15" x14ac:dyDescent="0.25"/>
  <cols>
    <col min="1" max="1" width="14.140625" style="32" bestFit="1" customWidth="1"/>
    <col min="2" max="2" width="67.85546875" style="32" customWidth="1"/>
    <col min="3" max="3" width="5" style="32" bestFit="1" customWidth="1"/>
    <col min="4" max="4" width="7" style="32" bestFit="1" customWidth="1"/>
    <col min="5" max="5" width="6" style="32" customWidth="1"/>
    <col min="6" max="6" width="7" style="32" bestFit="1" customWidth="1"/>
    <col min="7" max="7" width="6.140625" style="32" customWidth="1"/>
    <col min="8" max="9" width="6" style="32" bestFit="1" customWidth="1"/>
    <col min="10" max="11" width="6.140625" style="32" customWidth="1"/>
    <col min="12" max="12" width="5.28515625" style="32" bestFit="1" customWidth="1"/>
    <col min="13" max="13" width="6" style="32" customWidth="1"/>
    <col min="14" max="14" width="5" style="32" bestFit="1" customWidth="1"/>
    <col min="15" max="15" width="15.140625" style="32" bestFit="1" customWidth="1"/>
    <col min="16" max="16" width="14.85546875" style="32" bestFit="1" customWidth="1"/>
    <col min="17" max="18" width="16.5703125" style="32" customWidth="1"/>
    <col min="19" max="19" width="41" style="32" customWidth="1"/>
    <col min="20" max="20" width="22.7109375" style="32" customWidth="1"/>
    <col min="21" max="21" width="13.42578125" style="32" customWidth="1"/>
    <col min="22" max="25" width="11.42578125" style="32" bestFit="1" customWidth="1"/>
    <col min="26" max="26" width="17.5703125" style="32" bestFit="1" customWidth="1"/>
    <col min="27" max="16384" width="8.85546875" style="32"/>
  </cols>
  <sheetData>
    <row r="1" spans="1:26" s="33" customFormat="1" ht="14.25" x14ac:dyDescent="0.2">
      <c r="A1" s="33" t="s">
        <v>57</v>
      </c>
      <c r="B1" s="33" t="s">
        <v>113</v>
      </c>
      <c r="C1" s="33" t="s">
        <v>98</v>
      </c>
      <c r="D1" s="33" t="s">
        <v>99</v>
      </c>
      <c r="E1" s="33" t="s">
        <v>100</v>
      </c>
      <c r="F1" s="33" t="s">
        <v>101</v>
      </c>
      <c r="G1" s="33" t="s">
        <v>102</v>
      </c>
      <c r="H1" s="33" t="s">
        <v>103</v>
      </c>
      <c r="I1" s="33" t="s">
        <v>104</v>
      </c>
      <c r="J1" s="33" t="s">
        <v>97</v>
      </c>
      <c r="K1" s="33" t="s">
        <v>439</v>
      </c>
      <c r="L1" s="33" t="s">
        <v>284</v>
      </c>
      <c r="M1" s="33" t="s">
        <v>105</v>
      </c>
      <c r="N1" s="33" t="s">
        <v>277</v>
      </c>
      <c r="O1" s="33" t="s">
        <v>308</v>
      </c>
      <c r="P1" s="33" t="s">
        <v>309</v>
      </c>
      <c r="Q1" s="33" t="s">
        <v>310</v>
      </c>
      <c r="R1" s="33" t="s">
        <v>513</v>
      </c>
      <c r="S1" s="206" t="s">
        <v>495</v>
      </c>
      <c r="T1" s="206" t="s">
        <v>496</v>
      </c>
      <c r="U1" s="206"/>
      <c r="V1" s="206"/>
      <c r="W1" s="206"/>
      <c r="X1" s="206"/>
      <c r="Y1" s="206"/>
      <c r="Z1" s="206"/>
    </row>
    <row r="2" spans="1:26" ht="14.25" customHeight="1" x14ac:dyDescent="0.25">
      <c r="A2" s="32" t="s">
        <v>598</v>
      </c>
      <c r="B2" s="32" t="s">
        <v>623</v>
      </c>
      <c r="D2" s="32">
        <v>1</v>
      </c>
      <c r="O2" s="41">
        <f>C2*Prislapp!$C$2+D2*Prislapp!$D$2+E2*Prislapp!$E$2+F2*Prislapp!$F$2+G2*Prislapp!$G$2+H2*Prislapp!$H$2+I2*Prislapp!$I$2+J2*Prislapp!$J$2+K2*Prislapp!$K$2+L2*Prislapp!$L$2+M2*Prislapp!$M$2+N2*Prislapp!$N$2</f>
        <v>19097</v>
      </c>
      <c r="P2" s="41">
        <f>C2*Prislapp!$C$3+D2*Prislapp!$D$3+E2*Prislapp!$E$3+F2*Prislapp!$F$3+G2*Prislapp!$G$3+H2*Prislapp!$H$3+I2*Prislapp!$I$3+J2*Prislapp!$J$3+K2*Prislapp!$K$3+M2*Prislapp!$M$3+N2*Prislapp!$N$3</f>
        <v>16075</v>
      </c>
      <c r="Q2" s="41">
        <f>C2*Prislapp!$C$5+D2*Prislapp!$D$5+E2*Prislapp!$E$5+F2*Prislapp!$F$5+G2*Prislapp!$G$5+H2*Prislapp!$H$5+I2*Prislapp!$I$5+J2*Prislapp!$J$5+K2*Prislapp!$K$5+L2*Prislapp!$L$5+M2*Prislapp!$M$5+N2*Prislapp!$N$5</f>
        <v>5900</v>
      </c>
      <c r="R2" s="9">
        <f>VLOOKUP(A2,'Ansvar kurs'!$A$2:$B$219,2,FALSE)</f>
        <v>1620</v>
      </c>
      <c r="S2" s="162"/>
      <c r="T2" s="162"/>
      <c r="U2" s="162"/>
      <c r="V2" s="162"/>
      <c r="W2" s="162"/>
      <c r="X2" s="162"/>
      <c r="Y2" s="162"/>
      <c r="Z2" s="162"/>
    </row>
    <row r="3" spans="1:26" ht="14.25" customHeight="1" x14ac:dyDescent="0.25">
      <c r="A3" s="32" t="s">
        <v>516</v>
      </c>
      <c r="B3" s="32" t="s">
        <v>517</v>
      </c>
      <c r="D3" s="32">
        <v>1</v>
      </c>
      <c r="O3" s="41">
        <f>C3*Prislapp!$C$2+D3*Prislapp!$D$2+E3*Prislapp!$E$2+F3*Prislapp!$F$2+G3*Prislapp!$G$2+H3*Prislapp!$H$2+I3*Prislapp!$I$2+J3*Prislapp!$J$2+K3*Prislapp!$K$2+L3*Prislapp!$L$2+M3*Prislapp!$M$2+N3*Prislapp!$N$2</f>
        <v>19097</v>
      </c>
      <c r="P3" s="41">
        <f>C3*Prislapp!$C$3+D3*Prislapp!$D$3+E3*Prislapp!$E$3+F3*Prislapp!$F$3+G3*Prislapp!$G$3+H3*Prislapp!$H$3+I3*Prislapp!$I$3+J3*Prislapp!$J$3+K3*Prislapp!$K$3+M3*Prislapp!$M$3+N3*Prislapp!$N$3</f>
        <v>16075</v>
      </c>
      <c r="Q3" s="41">
        <f>C3*Prislapp!$C$5+D3*Prislapp!$D$5+E3*Prislapp!$E$5+F3*Prislapp!$F$5+G3*Prislapp!$G$5+H3*Prislapp!$H$5+I3*Prislapp!$I$5+J3*Prislapp!$J$5+K3*Prislapp!$K$5+L3*Prislapp!$L$5+M3*Prislapp!$M$5+N3*Prislapp!$N$5</f>
        <v>5900</v>
      </c>
      <c r="R3" s="9">
        <f>VLOOKUP(A3,'Ansvar kurs'!$A$3:$B$219,2,FALSE)</f>
        <v>1620</v>
      </c>
      <c r="S3" s="162"/>
      <c r="T3" s="162"/>
      <c r="U3" s="162"/>
      <c r="V3" s="162"/>
      <c r="W3" s="162"/>
      <c r="X3" s="162"/>
      <c r="Y3" s="162"/>
      <c r="Z3" s="162"/>
    </row>
    <row r="4" spans="1:26" x14ac:dyDescent="0.25">
      <c r="A4" s="32" t="s">
        <v>518</v>
      </c>
      <c r="B4" s="32" t="s">
        <v>519</v>
      </c>
      <c r="D4" s="32">
        <v>1</v>
      </c>
      <c r="O4" s="41">
        <f>C4*Prislapp!$C$2+D4*Prislapp!$D$2+E4*Prislapp!$E$2+F4*Prislapp!$F$2+G4*Prislapp!$G$2+H4*Prislapp!$H$2+I4*Prislapp!$I$2+J4*Prislapp!$J$2+K4*Prislapp!$K$2+L4*Prislapp!$L$2+M4*Prislapp!$M$2+N4*Prislapp!$N$2</f>
        <v>19097</v>
      </c>
      <c r="P4" s="41">
        <f>C4*Prislapp!$C$3+D4*Prislapp!$D$3+E4*Prislapp!$E$3+F4*Prislapp!$F$3+G4*Prislapp!$G$3+H4*Prislapp!$H$3+I4*Prislapp!$I$3+J4*Prislapp!$J$3+K4*Prislapp!$K$3+M4*Prislapp!$M$3+N4*Prislapp!$N$3</f>
        <v>16075</v>
      </c>
      <c r="Q4" s="41">
        <f>C4*Prislapp!$C$5+D4*Prislapp!$D$5+E4*Prislapp!$E$5+F4*Prislapp!$F$5+G4*Prislapp!$G$5+H4*Prislapp!$H$5+I4*Prislapp!$I$5+J4*Prislapp!$J$5+K4*Prislapp!$K$5+L4*Prislapp!$L$5+M4*Prislapp!$M$5+N4*Prislapp!$N$5</f>
        <v>5900</v>
      </c>
      <c r="R4" s="9">
        <f>VLOOKUP(A4,'Ansvar kurs'!$A$3:$B$219,2,FALSE)</f>
        <v>1620</v>
      </c>
      <c r="S4" s="162"/>
      <c r="T4" s="162"/>
      <c r="U4" s="162"/>
      <c r="V4" s="162"/>
      <c r="W4" s="162"/>
      <c r="X4" s="162"/>
      <c r="Y4" s="162"/>
      <c r="Z4" s="162"/>
    </row>
    <row r="5" spans="1:26" x14ac:dyDescent="0.25">
      <c r="A5" s="59" t="s">
        <v>696</v>
      </c>
      <c r="B5" s="32" t="s">
        <v>729</v>
      </c>
      <c r="D5" s="32">
        <v>1</v>
      </c>
      <c r="O5" s="41">
        <f>C5*Prislapp!$C$2+D5*Prislapp!$D$2+E5*Prislapp!$E$2+F5*Prislapp!$F$2+G5*Prislapp!$G$2+H5*Prislapp!$H$2+I5*Prislapp!$I$2+J5*Prislapp!$J$2+K5*Prislapp!$K$2+L5*Prislapp!$L$2+M5*Prislapp!$M$2+N5*Prislapp!$N$2</f>
        <v>19097</v>
      </c>
      <c r="P5" s="41">
        <f>C5*Prislapp!$C$3+D5*Prislapp!$D$3+E5*Prislapp!$E$3+F5*Prislapp!$F$3+G5*Prislapp!$G$3+H5*Prislapp!$H$3+I5*Prislapp!$I$3+J5*Prislapp!$J$3+K5*Prislapp!$K$3+M5*Prislapp!$M$3+N5*Prislapp!$N$3</f>
        <v>16075</v>
      </c>
      <c r="Q5" s="41">
        <f>C5*Prislapp!$C$5+D5*Prislapp!$D$5+E5*Prislapp!$E$5+F5*Prislapp!$F$5+G5*Prislapp!$G$5+H5*Prislapp!$H$5+I5*Prislapp!$I$5+J5*Prislapp!$J$5+K5*Prislapp!$K$5+L5*Prislapp!$L$5+M5*Prislapp!$M$5+N5*Prislapp!$N$5</f>
        <v>5900</v>
      </c>
      <c r="R5" s="9">
        <f>VLOOKUP(A5,'Ansvar kurs'!$A$3:$B$219,2,FALSE)</f>
        <v>1620</v>
      </c>
      <c r="S5" s="162"/>
      <c r="T5" s="162"/>
      <c r="U5" s="162"/>
      <c r="V5" s="162"/>
      <c r="W5" s="162"/>
      <c r="X5" s="162"/>
      <c r="Y5" s="162"/>
      <c r="Z5" s="162"/>
    </row>
    <row r="6" spans="1:26" x14ac:dyDescent="0.25">
      <c r="A6" s="32" t="s">
        <v>568</v>
      </c>
      <c r="B6" s="32" t="s">
        <v>580</v>
      </c>
      <c r="D6" s="32">
        <v>1</v>
      </c>
      <c r="O6" s="41">
        <f>C6*Prislapp!$C$2+D6*Prislapp!$D$2+E6*Prislapp!$E$2+F6*Prislapp!$F$2+G6*Prislapp!$G$2+H6*Prislapp!$H$2+I6*Prislapp!$I$2+J6*Prislapp!$J$2+K6*Prislapp!$K$2+L6*Prislapp!$L$2+M6*Prislapp!$M$2+N6*Prislapp!$N$2</f>
        <v>19097</v>
      </c>
      <c r="P6" s="41">
        <f>C6*Prislapp!$C$3+D6*Prislapp!$D$3+E6*Prislapp!$E$3+F6*Prislapp!$F$3+G6*Prislapp!$G$3+H6*Prislapp!$H$3+I6*Prislapp!$I$3+J6*Prislapp!$J$3+K6*Prislapp!$K$3+M6*Prislapp!$M$3+N6*Prislapp!$N$3</f>
        <v>16075</v>
      </c>
      <c r="Q6" s="41">
        <f>C6*Prislapp!$C$5+D6*Prislapp!$D$5+E6*Prislapp!$E$5+F6*Prislapp!$F$5+G6*Prislapp!$G$5+H6*Prislapp!$H$5+I6*Prislapp!$I$5+J6*Prislapp!$J$5+K6*Prislapp!$K$5+L6*Prislapp!$L$5+M6*Prislapp!$M$5+N6*Prislapp!$N$5</f>
        <v>5900</v>
      </c>
      <c r="R6" s="9">
        <f>VLOOKUP(A6,'Ansvar kurs'!$A$3:$B$219,2,FALSE)</f>
        <v>1620</v>
      </c>
      <c r="S6" s="162"/>
      <c r="T6" s="162"/>
      <c r="U6" s="162"/>
      <c r="V6" s="162"/>
      <c r="W6" s="162"/>
      <c r="X6" s="162"/>
      <c r="Y6" s="162"/>
      <c r="Z6" s="162"/>
    </row>
    <row r="7" spans="1:26" x14ac:dyDescent="0.25">
      <c r="A7" s="32" t="s">
        <v>520</v>
      </c>
      <c r="B7" s="32" t="s">
        <v>521</v>
      </c>
      <c r="D7" s="32">
        <v>1</v>
      </c>
      <c r="O7" s="41">
        <f>C7*Prislapp!$C$2+D7*Prislapp!$D$2+E7*Prislapp!$E$2+F7*Prislapp!$F$2+G7*Prislapp!$G$2+H7*Prislapp!$H$2+I7*Prislapp!$I$2+J7*Prislapp!$J$2+K7*Prislapp!$K$2+L7*Prislapp!$L$2+M7*Prislapp!$M$2+N7*Prislapp!$N$2</f>
        <v>19097</v>
      </c>
      <c r="P7" s="41">
        <f>C7*Prislapp!$C$3+D7*Prislapp!$D$3+E7*Prislapp!$E$3+F7*Prislapp!$F$3+G7*Prislapp!$G$3+H7*Prislapp!$H$3+I7*Prislapp!$I$3+J7*Prislapp!$J$3+K7*Prislapp!$K$3+M7*Prislapp!$M$3+N7*Prislapp!$N$3</f>
        <v>16075</v>
      </c>
      <c r="Q7" s="41">
        <f>C7*Prislapp!$C$5+D7*Prislapp!$D$5+E7*Prislapp!$E$5+F7*Prislapp!$F$5+G7*Prislapp!$G$5+H7*Prislapp!$H$5+I7*Prislapp!$I$5+J7*Prislapp!$J$5+K7*Prislapp!$K$5+L7*Prislapp!$L$5+M7*Prislapp!$M$5+N7*Prislapp!$N$5</f>
        <v>5900</v>
      </c>
      <c r="R7" s="9">
        <f>VLOOKUP(A7,'Ansvar kurs'!$A$3:$B$219,2,FALSE)</f>
        <v>1620</v>
      </c>
      <c r="S7" s="162"/>
      <c r="T7" s="162"/>
      <c r="U7" s="162"/>
      <c r="V7" s="162"/>
      <c r="W7" s="162"/>
      <c r="X7" s="162"/>
      <c r="Y7" s="162"/>
      <c r="Z7" s="162"/>
    </row>
    <row r="8" spans="1:26" x14ac:dyDescent="0.25">
      <c r="A8" s="32" t="s">
        <v>768</v>
      </c>
      <c r="B8" s="32" t="s">
        <v>787</v>
      </c>
      <c r="D8" s="32">
        <v>1</v>
      </c>
      <c r="O8" s="41">
        <f>C8*Prislapp!$C$2+D8*Prislapp!$D$2+E8*Prislapp!$E$2+F8*Prislapp!$F$2+G8*Prislapp!$G$2+H8*Prislapp!$H$2+I8*Prislapp!$I$2+J8*Prislapp!$J$2+K8*Prislapp!$K$2+L8*Prislapp!$L$2+M8*Prislapp!$M$2+N8*Prislapp!$N$2</f>
        <v>19097</v>
      </c>
      <c r="P8" s="41">
        <f>C8*Prislapp!$C$3+D8*Prislapp!$D$3+E8*Prislapp!$E$3+F8*Prislapp!$F$3+G8*Prislapp!$G$3+H8*Prislapp!$H$3+I8*Prislapp!$I$3+J8*Prislapp!$J$3+K8*Prislapp!$K$3+M8*Prislapp!$M$3+N8*Prislapp!$N$3</f>
        <v>16075</v>
      </c>
      <c r="Q8" s="41">
        <f>C8*Prislapp!$C$5+D8*Prislapp!$D$5+E8*Prislapp!$E$5+F8*Prislapp!$F$5+G8*Prislapp!$G$5+H8*Prislapp!$H$5+I8*Prislapp!$I$5+J8*Prislapp!$J$5+K8*Prislapp!$K$5+L8*Prislapp!$L$5+M8*Prislapp!$M$5+N8*Prislapp!$N$5</f>
        <v>5900</v>
      </c>
      <c r="R8" s="9">
        <f>VLOOKUP(A8,'Ansvar kurs'!$A$3:$B$219,2,FALSE)</f>
        <v>1620</v>
      </c>
      <c r="S8" s="162"/>
      <c r="T8" s="162"/>
      <c r="U8" s="162"/>
      <c r="V8" s="162"/>
      <c r="W8" s="162"/>
      <c r="X8" s="162"/>
      <c r="Y8" s="162"/>
      <c r="Z8" s="162"/>
    </row>
    <row r="9" spans="1:26" x14ac:dyDescent="0.25">
      <c r="A9" s="32" t="s">
        <v>599</v>
      </c>
      <c r="B9" s="32" t="s">
        <v>624</v>
      </c>
      <c r="D9" s="32">
        <v>1</v>
      </c>
      <c r="O9" s="41">
        <f>C9*Prislapp!$C$2+D9*Prislapp!$D$2+E9*Prislapp!$E$2+F9*Prislapp!$F$2+G9*Prislapp!$G$2+H9*Prislapp!$H$2+I9*Prislapp!$I$2+J9*Prislapp!$J$2+K9*Prislapp!$K$2+L9*Prislapp!$L$2+M9*Prislapp!$M$2+N9*Prislapp!$N$2</f>
        <v>19097</v>
      </c>
      <c r="P9" s="41">
        <f>C9*Prislapp!$C$3+D9*Prislapp!$D$3+E9*Prislapp!$E$3+F9*Prislapp!$F$3+G9*Prislapp!$G$3+H9*Prislapp!$H$3+I9*Prislapp!$I$3+J9*Prislapp!$J$3+K9*Prislapp!$K$3+M9*Prislapp!$M$3+N9*Prislapp!$N$3</f>
        <v>16075</v>
      </c>
      <c r="Q9" s="41">
        <f>C9*Prislapp!$C$5+D9*Prislapp!$D$5+E9*Prislapp!$E$5+F9*Prislapp!$F$5+G9*Prislapp!$G$5+H9*Prislapp!$H$5+I9*Prislapp!$I$5+J9*Prislapp!$J$5+K9*Prislapp!$K$5+L9*Prislapp!$L$5+M9*Prislapp!$M$5+N9*Prislapp!$N$5</f>
        <v>5900</v>
      </c>
      <c r="R9" s="9">
        <f>VLOOKUP(A9,'Ansvar kurs'!$A$3:$B$219,2,FALSE)</f>
        <v>1620</v>
      </c>
      <c r="S9" s="162"/>
      <c r="T9" s="162"/>
      <c r="U9" s="162"/>
      <c r="V9" s="162"/>
      <c r="W9" s="162"/>
      <c r="X9" s="162"/>
      <c r="Y9" s="162"/>
      <c r="Z9" s="162"/>
    </row>
    <row r="10" spans="1:26" x14ac:dyDescent="0.25">
      <c r="A10" s="32" t="s">
        <v>857</v>
      </c>
      <c r="B10" s="32" t="s">
        <v>874</v>
      </c>
      <c r="D10" s="32">
        <v>1</v>
      </c>
      <c r="O10" s="41">
        <f>C10*Prislapp!$C$2+D10*Prislapp!$D$2+E10*Prislapp!$E$2+F10*Prislapp!$F$2+G10*Prislapp!$G$2+H10*Prislapp!$H$2+I10*Prislapp!$I$2+J10*Prislapp!$J$2+K10*Prislapp!$K$2+L10*Prislapp!$L$2+M10*Prislapp!$M$2+N10*Prislapp!$N$2</f>
        <v>19097</v>
      </c>
      <c r="P10" s="41">
        <f>C10*Prislapp!$C$3+D10*Prislapp!$D$3+E10*Prislapp!$E$3+F10*Prislapp!$F$3+G10*Prislapp!$G$3+H10*Prislapp!$H$3+I10*Prislapp!$I$3+J10*Prislapp!$J$3+K10*Prislapp!$K$3+M10*Prislapp!$M$3+N10*Prislapp!$N$3</f>
        <v>16075</v>
      </c>
      <c r="Q10" s="41">
        <f>C10*Prislapp!$C$5+D10*Prislapp!$D$5+E10*Prislapp!$E$5+F10*Prislapp!$F$5+G10*Prislapp!$G$5+H10*Prislapp!$H$5+I10*Prislapp!$I$5+J10*Prislapp!$J$5+K10*Prislapp!$K$5+L10*Prislapp!$L$5+M10*Prislapp!$M$5+N10*Prislapp!$N$5</f>
        <v>5900</v>
      </c>
      <c r="R10" s="9">
        <f>VLOOKUP(A10,'Ansvar kurs'!$A$3:$B$219,2,FALSE)</f>
        <v>1620</v>
      </c>
      <c r="S10" s="162"/>
      <c r="T10" s="162"/>
      <c r="U10" s="162"/>
      <c r="V10" s="162"/>
      <c r="W10" s="162"/>
      <c r="X10" s="162"/>
      <c r="Y10" s="162"/>
      <c r="Z10" s="162"/>
    </row>
    <row r="11" spans="1:26" x14ac:dyDescent="0.25">
      <c r="A11" s="32" t="s">
        <v>569</v>
      </c>
      <c r="B11" s="32" t="s">
        <v>581</v>
      </c>
      <c r="D11" s="32">
        <v>1</v>
      </c>
      <c r="O11" s="41">
        <f>C11*Prislapp!$C$2+D11*Prislapp!$D$2+E11*Prislapp!$E$2+F11*Prislapp!$F$2+G11*Prislapp!$G$2+H11*Prislapp!$H$2+I11*Prislapp!$I$2+J11*Prislapp!$J$2+K11*Prislapp!$K$2+L11*Prislapp!$L$2+M11*Prislapp!$M$2+N11*Prislapp!$N$2</f>
        <v>19097</v>
      </c>
      <c r="P11" s="41">
        <f>C11*Prislapp!$C$3+D11*Prislapp!$D$3+E11*Prislapp!$E$3+F11*Prislapp!$F$3+G11*Prislapp!$G$3+H11*Prislapp!$H$3+I11*Prislapp!$I$3+J11*Prislapp!$J$3+K11*Prislapp!$K$3+M11*Prislapp!$M$3+N11*Prislapp!$N$3</f>
        <v>16075</v>
      </c>
      <c r="Q11" s="41">
        <f>C11*Prislapp!$C$5+D11*Prislapp!$D$5+E11*Prislapp!$E$5+F11*Prislapp!$F$5+G11*Prislapp!$G$5+H11*Prislapp!$H$5+I11*Prislapp!$I$5+J11*Prislapp!$J$5+K11*Prislapp!$K$5+L11*Prislapp!$L$5+M11*Prislapp!$M$5+N11*Prislapp!$N$5</f>
        <v>5900</v>
      </c>
      <c r="R11" s="9">
        <f>VLOOKUP(A11,'Ansvar kurs'!$A$3:$B$219,2,FALSE)</f>
        <v>1630</v>
      </c>
      <c r="S11" s="162"/>
      <c r="T11" s="162"/>
      <c r="U11" s="162"/>
      <c r="V11" s="162"/>
      <c r="W11" s="162"/>
      <c r="X11" s="162"/>
      <c r="Y11" s="162"/>
      <c r="Z11" s="162"/>
    </row>
    <row r="12" spans="1:26" x14ac:dyDescent="0.25">
      <c r="A12" s="32" t="s">
        <v>547</v>
      </c>
      <c r="B12" s="32" t="s">
        <v>555</v>
      </c>
      <c r="D12" s="32">
        <v>1</v>
      </c>
      <c r="O12" s="41">
        <f>C12*Prislapp!$C$2+D12*Prislapp!$D$2+E12*Prislapp!$E$2+F12*Prislapp!$F$2+G12*Prislapp!$G$2+H12*Prislapp!$H$2+I12*Prislapp!$I$2+J12*Prislapp!$J$2+K12*Prislapp!$K$2+L12*Prislapp!$L$2+M12*Prislapp!$M$2+N12*Prislapp!$N$2</f>
        <v>19097</v>
      </c>
      <c r="P12" s="41">
        <f>C12*Prislapp!$C$3+D12*Prislapp!$D$3+E12*Prislapp!$E$3+F12*Prislapp!$F$3+G12*Prislapp!$G$3+H12*Prislapp!$H$3+I12*Prislapp!$I$3+J12*Prislapp!$J$3+K12*Prislapp!$K$3+M12*Prislapp!$M$3+N12*Prislapp!$N$3</f>
        <v>16075</v>
      </c>
      <c r="Q12" s="41">
        <f>C12*Prislapp!$C$5+D12*Prislapp!$D$5+E12*Prislapp!$E$5+F12*Prislapp!$F$5+G12*Prislapp!$G$5+H12*Prislapp!$H$5+I12*Prislapp!$I$5+J12*Prislapp!$J$5+K12*Prislapp!$K$5+L12*Prislapp!$L$5+M12*Prislapp!$M$5+N12*Prislapp!$N$5</f>
        <v>5900</v>
      </c>
      <c r="R12" s="9">
        <f>VLOOKUP(A12,'Ansvar kurs'!$A$3:$B$219,2,FALSE)</f>
        <v>1620</v>
      </c>
      <c r="S12" s="162"/>
      <c r="T12" s="162"/>
      <c r="U12" s="162"/>
      <c r="V12" s="162"/>
      <c r="W12" s="162"/>
      <c r="X12" s="162"/>
      <c r="Y12" s="162"/>
      <c r="Z12" s="162"/>
    </row>
    <row r="13" spans="1:26" x14ac:dyDescent="0.25">
      <c r="A13" s="32" t="s">
        <v>548</v>
      </c>
      <c r="B13" s="32" t="s">
        <v>556</v>
      </c>
      <c r="D13" s="32">
        <v>1</v>
      </c>
      <c r="O13" s="41">
        <f>C13*Prislapp!$C$2+D13*Prislapp!$D$2+E13*Prislapp!$E$2+F13*Prislapp!$F$2+G13*Prislapp!$G$2+H13*Prislapp!$H$2+I13*Prislapp!$I$2+J13*Prislapp!$J$2+K13*Prislapp!$K$2+L13*Prislapp!$L$2+M13*Prislapp!$M$2+N13*Prislapp!$N$2</f>
        <v>19097</v>
      </c>
      <c r="P13" s="41">
        <f>C13*Prislapp!$C$3+D13*Prislapp!$D$3+E13*Prislapp!$E$3+F13*Prislapp!$F$3+G13*Prislapp!$G$3+H13*Prislapp!$H$3+I13*Prislapp!$I$3+J13*Prislapp!$J$3+K13*Prislapp!$K$3+M13*Prislapp!$M$3+N13*Prislapp!$N$3</f>
        <v>16075</v>
      </c>
      <c r="Q13" s="41">
        <f>C13*Prislapp!$C$5+D13*Prislapp!$D$5+E13*Prislapp!$E$5+F13*Prislapp!$F$5+G13*Prislapp!$G$5+H13*Prislapp!$H$5+I13*Prislapp!$I$5+J13*Prislapp!$J$5+K13*Prislapp!$K$5+L13*Prislapp!$L$5+M13*Prislapp!$M$5+N13*Prislapp!$N$5</f>
        <v>5900</v>
      </c>
      <c r="R13" s="9">
        <f>VLOOKUP(A13,'Ansvar kurs'!$A$3:$B$219,2,FALSE)</f>
        <v>1620</v>
      </c>
      <c r="S13" s="162"/>
      <c r="T13" s="162"/>
      <c r="U13" s="162"/>
      <c r="V13" s="162"/>
      <c r="W13" s="162"/>
      <c r="X13" s="162"/>
      <c r="Y13" s="162"/>
      <c r="Z13" s="162"/>
    </row>
    <row r="14" spans="1:26" x14ac:dyDescent="0.25">
      <c r="A14" s="32" t="s">
        <v>769</v>
      </c>
      <c r="B14" s="32" t="s">
        <v>788</v>
      </c>
      <c r="D14" s="32">
        <v>1</v>
      </c>
      <c r="O14" s="41">
        <f>C14*Prislapp!$C$2+D14*Prislapp!$D$2+E14*Prislapp!$E$2+F14*Prislapp!$F$2+G14*Prislapp!$G$2+H14*Prislapp!$H$2+I14*Prislapp!$I$2+J14*Prislapp!$J$2+K14*Prislapp!$K$2+L14*Prislapp!$L$2+M14*Prislapp!$M$2+N14*Prislapp!$N$2</f>
        <v>19097</v>
      </c>
      <c r="P14" s="41">
        <f>C14*Prislapp!$C$3+D14*Prislapp!$D$3+E14*Prislapp!$E$3+F14*Prislapp!$F$3+G14*Prislapp!$G$3+H14*Prislapp!$H$3+I14*Prislapp!$I$3+J14*Prislapp!$J$3+K14*Prislapp!$K$3+M14*Prislapp!$M$3+N14*Prislapp!$N$3</f>
        <v>16075</v>
      </c>
      <c r="Q14" s="41">
        <f>C14*Prislapp!$C$5+D14*Prislapp!$D$5+E14*Prislapp!$E$5+F14*Prislapp!$F$5+G14*Prislapp!$G$5+H14*Prislapp!$H$5+I14*Prislapp!$I$5+J14*Prislapp!$J$5+K14*Prislapp!$K$5+L14*Prislapp!$L$5+M14*Prislapp!$M$5+N14*Prislapp!$N$5</f>
        <v>5900</v>
      </c>
      <c r="R14" s="9">
        <f>VLOOKUP(A14,'Ansvar kurs'!$A$3:$B$219,2,FALSE)</f>
        <v>1630</v>
      </c>
      <c r="S14" s="162"/>
      <c r="T14" s="162"/>
      <c r="U14" s="162"/>
      <c r="V14" s="162"/>
      <c r="W14" s="162"/>
      <c r="X14" s="162"/>
      <c r="Y14" s="162"/>
      <c r="Z14" s="162"/>
    </row>
    <row r="15" spans="1:26" x14ac:dyDescent="0.25">
      <c r="A15" s="32" t="s">
        <v>920</v>
      </c>
      <c r="B15" s="32" t="s">
        <v>942</v>
      </c>
      <c r="D15" s="32">
        <v>1</v>
      </c>
      <c r="O15" s="41">
        <f>C15*Prislapp!$C$2+D15*Prislapp!$D$2+E15*Prislapp!$E$2+F15*Prislapp!$F$2+G15*Prislapp!$G$2+H15*Prislapp!$H$2+I15*Prislapp!$I$2+J15*Prislapp!$J$2+K15*Prislapp!$K$2+L15*Prislapp!$L$2+M15*Prislapp!$M$2+N15*Prislapp!$N$2</f>
        <v>19097</v>
      </c>
      <c r="P15" s="41">
        <f>C15*Prislapp!$C$3+D15*Prislapp!$D$3+E15*Prislapp!$E$3+F15*Prislapp!$F$3+G15*Prislapp!$G$3+H15*Prislapp!$H$3+I15*Prislapp!$I$3+J15*Prislapp!$J$3+K15*Prislapp!$K$3+M15*Prislapp!$M$3+N15*Prislapp!$N$3</f>
        <v>16075</v>
      </c>
      <c r="Q15" s="41">
        <f>C15*Prislapp!$C$5+D15*Prislapp!$D$5+E15*Prislapp!$E$5+F15*Prislapp!$F$5+G15*Prislapp!$G$5+H15*Prislapp!$H$5+I15*Prislapp!$I$5+J15*Prislapp!$J$5+K15*Prislapp!$K$5+L15*Prislapp!$L$5+M15*Prislapp!$M$5+N15*Prislapp!$N$5</f>
        <v>5900</v>
      </c>
      <c r="R15" s="9">
        <f>VLOOKUP(A15,'Ansvar kurs'!$A$3:$B$219,2,FALSE)</f>
        <v>1630</v>
      </c>
      <c r="S15" s="162"/>
      <c r="T15" s="162"/>
      <c r="U15" s="162"/>
      <c r="V15" s="162"/>
      <c r="W15" s="162"/>
      <c r="X15" s="162"/>
      <c r="Y15" s="162"/>
      <c r="Z15" s="162"/>
    </row>
    <row r="16" spans="1:26" x14ac:dyDescent="0.25">
      <c r="A16" s="32" t="s">
        <v>549</v>
      </c>
      <c r="B16" s="32" t="s">
        <v>291</v>
      </c>
      <c r="D16" s="32">
        <v>1</v>
      </c>
      <c r="O16" s="41">
        <f>C16*Prislapp!$C$2+D16*Prislapp!$D$2+E16*Prislapp!$E$2+F16*Prislapp!$F$2+G16*Prislapp!$G$2+H16*Prislapp!$H$2+I16*Prislapp!$I$2+J16*Prislapp!$J$2+K16*Prislapp!$K$2+L16*Prislapp!$L$2+M16*Prislapp!$M$2+N16*Prislapp!$N$2</f>
        <v>19097</v>
      </c>
      <c r="P16" s="41">
        <f>C16*Prislapp!$C$3+D16*Prislapp!$D$3+E16*Prislapp!$E$3+F16*Prislapp!$F$3+G16*Prislapp!$G$3+H16*Prislapp!$H$3+I16*Prislapp!$I$3+J16*Prislapp!$J$3+K16*Prislapp!$K$3+M16*Prislapp!$M$3+N16*Prislapp!$N$3</f>
        <v>16075</v>
      </c>
      <c r="Q16" s="41">
        <f>C16*Prislapp!$C$5+D16*Prislapp!$D$5+E16*Prislapp!$E$5+F16*Prislapp!$F$5+G16*Prislapp!$G$5+H16*Prislapp!$H$5+I16*Prislapp!$I$5+J16*Prislapp!$J$5+K16*Prislapp!$K$5+L16*Prislapp!$L$5+M16*Prislapp!$M$5+N16*Prislapp!$N$5</f>
        <v>5900</v>
      </c>
      <c r="R16" s="9">
        <f>VLOOKUP(A16,'Ansvar kurs'!$A$3:$B$219,2,FALSE)</f>
        <v>1630</v>
      </c>
      <c r="S16" s="162"/>
      <c r="T16" s="162"/>
      <c r="U16" s="162"/>
      <c r="V16" s="162"/>
      <c r="W16" s="162"/>
      <c r="X16" s="162"/>
      <c r="Y16" s="162"/>
      <c r="Z16" s="162"/>
    </row>
    <row r="17" spans="1:26" x14ac:dyDescent="0.25">
      <c r="A17" s="32" t="s">
        <v>674</v>
      </c>
      <c r="B17" s="32" t="s">
        <v>684</v>
      </c>
      <c r="D17" s="32">
        <v>1</v>
      </c>
      <c r="O17" s="41">
        <f>C17*Prislapp!$C$2+D17*Prislapp!$D$2+E17*Prislapp!$E$2+F17*Prislapp!$F$2+G17*Prislapp!$G$2+H17*Prislapp!$H$2+I17*Prislapp!$I$2+J17*Prislapp!$J$2+K17*Prislapp!$K$2+L17*Prislapp!$L$2+M17*Prislapp!$M$2+N17*Prislapp!$N$2</f>
        <v>19097</v>
      </c>
      <c r="P17" s="41">
        <f>C17*Prislapp!$C$3+D17*Prislapp!$D$3+E17*Prislapp!$E$3+F17*Prislapp!$F$3+G17*Prislapp!$G$3+H17*Prislapp!$H$3+I17*Prislapp!$I$3+J17*Prislapp!$J$3+K17*Prislapp!$K$3+M17*Prislapp!$M$3+N17*Prislapp!$N$3</f>
        <v>16075</v>
      </c>
      <c r="Q17" s="41">
        <f>C17*Prislapp!$C$5+D17*Prislapp!$D$5+E17*Prislapp!$E$5+F17*Prislapp!$F$5+G17*Prislapp!$G$5+H17*Prislapp!$H$5+I17*Prislapp!$I$5+J17*Prislapp!$J$5+K17*Prislapp!$K$5+L17*Prislapp!$L$5+M17*Prislapp!$M$5+N17*Prislapp!$N$5</f>
        <v>5900</v>
      </c>
      <c r="R17" s="9">
        <f>VLOOKUP(A17,'Ansvar kurs'!$A$3:$B$219,2,FALSE)</f>
        <v>1630</v>
      </c>
      <c r="S17" s="162"/>
      <c r="T17" s="162"/>
      <c r="U17" s="162"/>
      <c r="V17" s="162"/>
      <c r="W17" s="162"/>
      <c r="X17" s="162"/>
      <c r="Y17" s="162"/>
      <c r="Z17" s="162"/>
    </row>
    <row r="18" spans="1:26" x14ac:dyDescent="0.25">
      <c r="A18" s="32" t="s">
        <v>740</v>
      </c>
      <c r="B18" s="32" t="s">
        <v>750</v>
      </c>
      <c r="D18" s="32">
        <v>1</v>
      </c>
      <c r="O18" s="41">
        <f>C18*Prislapp!$C$2+D18*Prislapp!$D$2+E18*Prislapp!$E$2+F18*Prislapp!$F$2+G18*Prislapp!$G$2+H18*Prislapp!$H$2+I18*Prislapp!$I$2+J18*Prislapp!$J$2+K18*Prislapp!$K$2+L18*Prislapp!$L$2+M18*Prislapp!$M$2+N18*Prislapp!$N$2</f>
        <v>19097</v>
      </c>
      <c r="P18" s="41">
        <f>C18*Prislapp!$C$3+D18*Prislapp!$D$3+E18*Prislapp!$E$3+F18*Prislapp!$F$3+G18*Prislapp!$G$3+H18*Prislapp!$H$3+I18*Prislapp!$I$3+J18*Prislapp!$J$3+K18*Prislapp!$K$3+M18*Prislapp!$M$3+N18*Prislapp!$N$3</f>
        <v>16075</v>
      </c>
      <c r="Q18" s="41">
        <f>C18*Prislapp!$C$5+D18*Prislapp!$D$5+E18*Prislapp!$E$5+F18*Prislapp!$F$5+G18*Prislapp!$G$5+H18*Prislapp!$H$5+I18*Prislapp!$I$5+J18*Prislapp!$J$5+K18*Prislapp!$K$5+L18*Prislapp!$L$5+M18*Prislapp!$M$5+N18*Prislapp!$N$5</f>
        <v>5900</v>
      </c>
      <c r="R18" s="9">
        <f>VLOOKUP(A18,'Ansvar kurs'!$A$3:$B$219,2,FALSE)</f>
        <v>1630</v>
      </c>
      <c r="S18" s="162"/>
      <c r="T18" s="162"/>
      <c r="U18" s="162"/>
      <c r="V18" s="162"/>
      <c r="W18" s="162"/>
      <c r="X18" s="162"/>
      <c r="Y18" s="162"/>
      <c r="Z18" s="162"/>
    </row>
    <row r="19" spans="1:26" x14ac:dyDescent="0.25">
      <c r="A19" s="32" t="s">
        <v>550</v>
      </c>
      <c r="B19" s="32" t="s">
        <v>557</v>
      </c>
      <c r="D19" s="32">
        <v>1</v>
      </c>
      <c r="O19" s="41">
        <f>C19*Prislapp!$C$2+D19*Prislapp!$D$2+E19*Prislapp!$E$2+F19*Prislapp!$F$2+G19*Prislapp!$G$2+H19*Prislapp!$H$2+I19*Prislapp!$I$2+J19*Prislapp!$J$2+K19*Prislapp!$K$2+L19*Prislapp!$L$2+M19*Prislapp!$M$2+N19*Prislapp!$N$2</f>
        <v>19097</v>
      </c>
      <c r="P19" s="41">
        <f>C19*Prislapp!$C$3+D19*Prislapp!$D$3+E19*Prislapp!$E$3+F19*Prislapp!$F$3+G19*Prislapp!$G$3+H19*Prislapp!$H$3+I19*Prislapp!$I$3+J19*Prislapp!$J$3+K19*Prislapp!$K$3+M19*Prislapp!$M$3+N19*Prislapp!$N$3</f>
        <v>16075</v>
      </c>
      <c r="Q19" s="41">
        <f>C19*Prislapp!$C$5+D19*Prislapp!$D$5+E19*Prislapp!$E$5+F19*Prislapp!$F$5+G19*Prislapp!$G$5+H19*Prislapp!$H$5+I19*Prislapp!$I$5+J19*Prislapp!$J$5+K19*Prislapp!$K$5+L19*Prislapp!$L$5+M19*Prislapp!$M$5+N19*Prislapp!$N$5</f>
        <v>5900</v>
      </c>
      <c r="R19" s="9">
        <f>VLOOKUP(A19,'Ansvar kurs'!$A$3:$B$219,2,FALSE)</f>
        <v>1640</v>
      </c>
      <c r="S19" s="162"/>
      <c r="T19" s="162"/>
      <c r="U19" s="162"/>
      <c r="V19" s="162"/>
      <c r="W19" s="162"/>
      <c r="X19" s="162"/>
      <c r="Y19" s="162"/>
      <c r="Z19" s="162"/>
    </row>
    <row r="20" spans="1:26" x14ac:dyDescent="0.25">
      <c r="A20" s="59" t="s">
        <v>762</v>
      </c>
      <c r="B20" s="59" t="s">
        <v>755</v>
      </c>
      <c r="D20" s="32">
        <v>1</v>
      </c>
      <c r="O20" s="41">
        <f>C20*Prislapp!$C$2+D20*Prislapp!$D$2+E20*Prislapp!$E$2+F20*Prislapp!$F$2+G20*Prislapp!$G$2+H20*Prislapp!$H$2+I20*Prislapp!$I$2+J20*Prislapp!$J$2+K20*Prislapp!$K$2+L20*Prislapp!$L$2+M20*Prislapp!$M$2+N20*Prislapp!$N$2</f>
        <v>19097</v>
      </c>
      <c r="P20" s="41">
        <f>C20*Prislapp!$C$3+D20*Prislapp!$D$3+E20*Prislapp!$E$3+F20*Prislapp!$F$3+G20*Prislapp!$G$3+H20*Prislapp!$H$3+I20*Prislapp!$I$3+J20*Prislapp!$J$3+K20*Prislapp!$K$3+M20*Prislapp!$M$3+N20*Prislapp!$N$3</f>
        <v>16075</v>
      </c>
      <c r="Q20" s="41">
        <f>C20*Prislapp!$C$5+D20*Prislapp!$D$5+E20*Prislapp!$E$5+F20*Prislapp!$F$5+G20*Prislapp!$G$5+H20*Prislapp!$H$5+I20*Prislapp!$I$5+J20*Prislapp!$J$5+K20*Prislapp!$K$5+L20*Prislapp!$L$5+M20*Prislapp!$M$5+N20*Prislapp!$N$5</f>
        <v>5900</v>
      </c>
      <c r="R20" s="9">
        <f>VLOOKUP(A20,'Ansvar kurs'!$A$3:$B$219,2,FALSE)</f>
        <v>1640</v>
      </c>
      <c r="S20" s="162"/>
      <c r="T20" s="162"/>
      <c r="U20" s="162"/>
      <c r="V20" s="162"/>
      <c r="W20" s="162"/>
      <c r="X20" s="162"/>
      <c r="Y20" s="162"/>
      <c r="Z20" s="162"/>
    </row>
    <row r="21" spans="1:26" x14ac:dyDescent="0.25">
      <c r="A21" s="59" t="s">
        <v>858</v>
      </c>
      <c r="B21" s="59" t="s">
        <v>875</v>
      </c>
      <c r="G21" s="32">
        <v>1</v>
      </c>
      <c r="O21" s="41">
        <f>C21*Prislapp!$C$2+D21*Prislapp!$D$2+E21*Prislapp!$E$2+F21*Prislapp!$F$2+G21*Prislapp!$G$2+H21*Prislapp!$H$2+I21*Prislapp!$I$2+J21*Prislapp!$J$2+K21*Prislapp!$K$2+L21*Prislapp!$L$2+M21*Prislapp!$M$2+N21*Prislapp!$N$2</f>
        <v>31433</v>
      </c>
      <c r="P21" s="41">
        <f>C21*Prislapp!$C$3+D21*Prislapp!$D$3+E21*Prislapp!$E$3+F21*Prislapp!$F$3+G21*Prislapp!$G$3+H21*Prislapp!$H$3+I21*Prislapp!$I$3+J21*Prislapp!$J$3+K21*Prislapp!$K$3+M21*Prislapp!$M$3+N21*Prislapp!$N$3</f>
        <v>65018</v>
      </c>
      <c r="Q21" s="41">
        <f>C21*Prislapp!$C$5+D21*Prislapp!$D$5+E21*Prislapp!$E$5+F21*Prislapp!$F$5+G21*Prislapp!$G$5+H21*Prislapp!$H$5+I21*Prislapp!$I$5+J21*Prislapp!$J$5+K21*Prislapp!$K$5+L21*Prislapp!$L$5+M21*Prislapp!$M$5+N21*Prislapp!$N$5</f>
        <v>71400</v>
      </c>
      <c r="R21" s="9">
        <f>VLOOKUP(A21,'Ansvar kurs'!$A$3:$B$219,2,FALSE)</f>
        <v>1650</v>
      </c>
      <c r="S21" s="162"/>
      <c r="T21" s="162"/>
      <c r="U21" s="162"/>
      <c r="V21" s="162"/>
      <c r="W21" s="162"/>
      <c r="X21" s="162"/>
      <c r="Y21" s="162"/>
      <c r="Z21" s="162"/>
    </row>
    <row r="22" spans="1:26" x14ac:dyDescent="0.25">
      <c r="A22" s="59" t="s">
        <v>827</v>
      </c>
      <c r="B22" s="59" t="s">
        <v>840</v>
      </c>
      <c r="G22" s="32">
        <v>1</v>
      </c>
      <c r="O22" s="41">
        <f>C22*Prislapp!$C$2+D22*Prislapp!$D$2+E22*Prislapp!$E$2+F22*Prislapp!$F$2+G22*Prislapp!$G$2+H22*Prislapp!$H$2+I22*Prislapp!$I$2+J22*Prislapp!$J$2+K22*Prislapp!$K$2+L22*Prislapp!$L$2+M22*Prislapp!$M$2+N22*Prislapp!$N$2</f>
        <v>31433</v>
      </c>
      <c r="P22" s="41">
        <f>C22*Prislapp!$C$3+D22*Prislapp!$D$3+E22*Prislapp!$E$3+F22*Prislapp!$F$3+G22*Prislapp!$G$3+H22*Prislapp!$H$3+I22*Prislapp!$I$3+J22*Prislapp!$J$3+K22*Prislapp!$K$3+M22*Prislapp!$M$3+N22*Prislapp!$N$3</f>
        <v>65018</v>
      </c>
      <c r="Q22" s="41">
        <f>C22*Prislapp!$C$5+D22*Prislapp!$D$5+E22*Prislapp!$E$5+F22*Prislapp!$F$5+G22*Prislapp!$G$5+H22*Prislapp!$H$5+I22*Prislapp!$I$5+J22*Prislapp!$J$5+K22*Prislapp!$K$5+L22*Prislapp!$L$5+M22*Prislapp!$M$5+N22*Prislapp!$N$5</f>
        <v>71400</v>
      </c>
      <c r="R22" s="9">
        <f>VLOOKUP(A22,'Ansvar kurs'!$A$3:$B$219,2,FALSE)</f>
        <v>1650</v>
      </c>
      <c r="S22" s="162"/>
      <c r="T22" s="162"/>
      <c r="U22" s="162"/>
      <c r="V22" s="162"/>
      <c r="W22" s="162"/>
      <c r="X22" s="162"/>
      <c r="Y22" s="162"/>
      <c r="Z22" s="162"/>
    </row>
    <row r="23" spans="1:26" x14ac:dyDescent="0.25">
      <c r="A23" s="59" t="s">
        <v>697</v>
      </c>
      <c r="B23" s="32" t="s">
        <v>730</v>
      </c>
      <c r="D23" s="32">
        <v>1</v>
      </c>
      <c r="O23" s="41">
        <f>C23*Prislapp!$C$2+D23*Prislapp!$D$2+E23*Prislapp!$E$2+F23*Prislapp!$F$2+G23*Prislapp!$G$2+H23*Prislapp!$H$2+I23*Prislapp!$I$2+J23*Prislapp!$J$2+K23*Prislapp!$K$2+L23*Prislapp!$L$2+M23*Prislapp!$M$2+N23*Prislapp!$N$2</f>
        <v>19097</v>
      </c>
      <c r="P23" s="41">
        <f>C23*Prislapp!$C$3+D23*Prislapp!$D$3+E23*Prislapp!$E$3+F23*Prislapp!$F$3+G23*Prislapp!$G$3+H23*Prislapp!$H$3+I23*Prislapp!$I$3+J23*Prislapp!$J$3+K23*Prislapp!$K$3+M23*Prislapp!$M$3+N23*Prislapp!$N$3</f>
        <v>16075</v>
      </c>
      <c r="Q23" s="41">
        <f>C23*Prislapp!$C$5+D23*Prislapp!$D$5+E23*Prislapp!$E$5+F23*Prislapp!$F$5+G23*Prislapp!$G$5+H23*Prislapp!$H$5+I23*Prislapp!$I$5+J23*Prislapp!$J$5+K23*Prislapp!$K$5+L23*Prislapp!$L$5+M23*Prislapp!$M$5+N23*Prislapp!$N$5</f>
        <v>5900</v>
      </c>
      <c r="R23" s="9">
        <f>VLOOKUP(A23,'Ansvar kurs'!$A$3:$B$219,2,FALSE)</f>
        <v>1620</v>
      </c>
      <c r="S23" s="162"/>
      <c r="T23" s="162"/>
      <c r="U23" s="162"/>
      <c r="V23" s="162"/>
      <c r="W23" s="162"/>
      <c r="X23" s="162"/>
      <c r="Y23" s="162"/>
      <c r="Z23" s="162"/>
    </row>
    <row r="24" spans="1:26" x14ac:dyDescent="0.25">
      <c r="A24" s="32" t="s">
        <v>551</v>
      </c>
      <c r="B24" s="32" t="s">
        <v>558</v>
      </c>
      <c r="D24" s="32">
        <v>1</v>
      </c>
      <c r="O24" s="41">
        <f>C24*Prislapp!$C$2+D24*Prislapp!$D$2+E24*Prislapp!$E$2+F24*Prislapp!$F$2+G24*Prislapp!$G$2+H24*Prislapp!$H$2+I24*Prislapp!$I$2+J24*Prislapp!$J$2+K24*Prislapp!$K$2+L24*Prislapp!$L$2+M24*Prislapp!$M$2+N24*Prislapp!$N$2</f>
        <v>19097</v>
      </c>
      <c r="P24" s="41">
        <f>C24*Prislapp!$C$3+D24*Prislapp!$D$3+E24*Prislapp!$E$3+F24*Prislapp!$F$3+G24*Prislapp!$G$3+H24*Prislapp!$H$3+I24*Prislapp!$I$3+J24*Prislapp!$J$3+K24*Prislapp!$K$3+M24*Prislapp!$M$3+N24*Prislapp!$N$3</f>
        <v>16075</v>
      </c>
      <c r="Q24" s="41">
        <f>C24*Prislapp!$C$5+D24*Prislapp!$D$5+E24*Prislapp!$E$5+F24*Prislapp!$F$5+G24*Prislapp!$G$5+H24*Prislapp!$H$5+I24*Prislapp!$I$5+J24*Prislapp!$J$5+K24*Prislapp!$K$5+L24*Prislapp!$L$5+M24*Prislapp!$M$5+N24*Prislapp!$N$5</f>
        <v>5900</v>
      </c>
      <c r="R24" s="9">
        <f>VLOOKUP(A24,'Ansvar kurs'!$A$3:$B$219,2,FALSE)</f>
        <v>1620</v>
      </c>
      <c r="S24" s="162"/>
      <c r="T24" s="162"/>
      <c r="U24" s="162"/>
      <c r="V24" s="162"/>
      <c r="W24" s="162"/>
      <c r="X24" s="162"/>
      <c r="Y24" s="162"/>
      <c r="Z24" s="162"/>
    </row>
    <row r="25" spans="1:26" x14ac:dyDescent="0.25">
      <c r="A25" s="59" t="s">
        <v>763</v>
      </c>
      <c r="B25" s="32" t="s">
        <v>766</v>
      </c>
      <c r="D25" s="32">
        <v>1</v>
      </c>
      <c r="O25" s="41">
        <f>C25*Prislapp!$C$2+D25*Prislapp!$D$2+E25*Prislapp!$E$2+F25*Prislapp!$F$2+G25*Prislapp!$G$2+H25*Prislapp!$H$2+I25*Prislapp!$I$2+J25*Prislapp!$J$2+K25*Prislapp!$K$2+L25*Prislapp!$L$2+M25*Prislapp!$M$2+N25*Prislapp!$N$2</f>
        <v>19097</v>
      </c>
      <c r="P25" s="41">
        <f>C25*Prislapp!$C$3+D25*Prislapp!$D$3+E25*Prislapp!$E$3+F25*Prislapp!$F$3+G25*Prislapp!$G$3+H25*Prislapp!$H$3+I25*Prislapp!$I$3+J25*Prislapp!$J$3+K25*Prislapp!$K$3+M25*Prislapp!$M$3+N25*Prislapp!$N$3</f>
        <v>16075</v>
      </c>
      <c r="Q25" s="41">
        <f>C25*Prislapp!$C$5+D25*Prislapp!$D$5+E25*Prislapp!$E$5+F25*Prislapp!$F$5+G25*Prislapp!$G$5+H25*Prislapp!$H$5+I25*Prislapp!$I$5+J25*Prislapp!$J$5+K25*Prislapp!$K$5+L25*Prislapp!$L$5+M25*Prislapp!$M$5+N25*Prislapp!$N$5</f>
        <v>5900</v>
      </c>
      <c r="R25" s="9">
        <f>VLOOKUP(A25,'Ansvar kurs'!$A$3:$B$219,2,FALSE)</f>
        <v>1620</v>
      </c>
      <c r="S25" s="162"/>
      <c r="T25" s="162"/>
      <c r="U25" s="162"/>
      <c r="V25" s="162"/>
      <c r="W25" s="162"/>
      <c r="X25" s="162"/>
      <c r="Y25" s="162"/>
      <c r="Z25" s="162"/>
    </row>
    <row r="26" spans="1:26" x14ac:dyDescent="0.25">
      <c r="A26" s="59" t="s">
        <v>770</v>
      </c>
      <c r="B26" s="32" t="s">
        <v>789</v>
      </c>
      <c r="D26" s="32">
        <v>1</v>
      </c>
      <c r="O26" s="41">
        <f>C26*Prislapp!$C$2+D26*Prislapp!$D$2+E26*Prislapp!$E$2+F26*Prislapp!$F$2+G26*Prislapp!$G$2+H26*Prislapp!$H$2+I26*Prislapp!$I$2+J26*Prislapp!$J$2+K26*Prislapp!$K$2+L26*Prislapp!$L$2+M26*Prislapp!$M$2+N26*Prislapp!$N$2</f>
        <v>19097</v>
      </c>
      <c r="P26" s="41">
        <f>C26*Prislapp!$C$3+D26*Prislapp!$D$3+E26*Prislapp!$E$3+F26*Prislapp!$F$3+G26*Prislapp!$G$3+H26*Prislapp!$H$3+I26*Prislapp!$I$3+J26*Prislapp!$J$3+K26*Prislapp!$K$3+M26*Prislapp!$M$3+N26*Prislapp!$N$3</f>
        <v>16075</v>
      </c>
      <c r="Q26" s="41">
        <f>C26*Prislapp!$C$5+D26*Prislapp!$D$5+E26*Prislapp!$E$5+F26*Prislapp!$F$5+G26*Prislapp!$G$5+H26*Prislapp!$H$5+I26*Prislapp!$I$5+J26*Prislapp!$J$5+K26*Prislapp!$K$5+L26*Prislapp!$L$5+M26*Prislapp!$M$5+N26*Prislapp!$N$5</f>
        <v>5900</v>
      </c>
      <c r="R26" s="9">
        <f>VLOOKUP(A26,'Ansvar kurs'!$A$3:$B$219,2,FALSE)</f>
        <v>1620</v>
      </c>
      <c r="S26" s="162"/>
      <c r="T26" s="162"/>
      <c r="U26" s="162"/>
      <c r="V26" s="162"/>
      <c r="W26" s="162"/>
      <c r="X26" s="162"/>
      <c r="Y26" s="162"/>
      <c r="Z26" s="162"/>
    </row>
    <row r="27" spans="1:26" x14ac:dyDescent="0.25">
      <c r="A27" s="59" t="s">
        <v>771</v>
      </c>
      <c r="B27" s="32" t="s">
        <v>790</v>
      </c>
      <c r="D27" s="32">
        <v>1</v>
      </c>
      <c r="O27" s="41">
        <f>C27*Prislapp!$C$2+D27*Prislapp!$D$2+E27*Prislapp!$E$2+F27*Prislapp!$F$2+G27*Prislapp!$G$2+H27*Prislapp!$H$2+I27*Prislapp!$I$2+J27*Prislapp!$J$2+K27*Prislapp!$K$2+L27*Prislapp!$L$2+M27*Prislapp!$M$2+N27*Prislapp!$N$2</f>
        <v>19097</v>
      </c>
      <c r="P27" s="41">
        <f>C27*Prislapp!$C$3+D27*Prislapp!$D$3+E27*Prislapp!$E$3+F27*Prislapp!$F$3+G27*Prislapp!$G$3+H27*Prislapp!$H$3+I27*Prislapp!$I$3+J27*Prislapp!$J$3+K27*Prislapp!$K$3+M27*Prislapp!$M$3+N27*Prislapp!$N$3</f>
        <v>16075</v>
      </c>
      <c r="Q27" s="41">
        <f>C27*Prislapp!$C$5+D27*Prislapp!$D$5+E27*Prislapp!$E$5+F27*Prislapp!$F$5+G27*Prislapp!$G$5+H27*Prislapp!$H$5+I27*Prislapp!$I$5+J27*Prislapp!$J$5+K27*Prislapp!$K$5+L27*Prislapp!$L$5+M27*Prislapp!$M$5+N27*Prislapp!$N$5</f>
        <v>5900</v>
      </c>
      <c r="R27" s="9">
        <f>VLOOKUP(A27,'Ansvar kurs'!$A$3:$B$219,2,FALSE)</f>
        <v>1620</v>
      </c>
      <c r="S27" s="162"/>
      <c r="T27" s="162"/>
      <c r="U27" s="162"/>
      <c r="V27" s="162"/>
      <c r="W27" s="162"/>
      <c r="X27" s="162"/>
      <c r="Y27" s="162"/>
      <c r="Z27" s="162"/>
    </row>
    <row r="28" spans="1:26" x14ac:dyDescent="0.25">
      <c r="A28" s="59" t="s">
        <v>859</v>
      </c>
      <c r="B28" s="32" t="s">
        <v>876</v>
      </c>
      <c r="D28" s="32">
        <v>1</v>
      </c>
      <c r="O28" s="41">
        <f>C28*Prislapp!$C$2+D28*Prislapp!$D$2+E28*Prislapp!$E$2+F28*Prislapp!$F$2+G28*Prislapp!$G$2+H28*Prislapp!$H$2+I28*Prislapp!$I$2+J28*Prislapp!$J$2+K28*Prislapp!$K$2+L28*Prislapp!$L$2+M28*Prislapp!$M$2+N28*Prislapp!$N$2</f>
        <v>19097</v>
      </c>
      <c r="P28" s="41">
        <f>C28*Prislapp!$C$3+D28*Prislapp!$D$3+E28*Prislapp!$E$3+F28*Prislapp!$F$3+G28*Prislapp!$G$3+H28*Prislapp!$H$3+I28*Prislapp!$I$3+J28*Prislapp!$J$3+K28*Prislapp!$K$3+M28*Prislapp!$M$3+N28*Prislapp!$N$3</f>
        <v>16075</v>
      </c>
      <c r="Q28" s="41">
        <f>C28*Prislapp!$C$5+D28*Prislapp!$D$5+E28*Prislapp!$E$5+F28*Prislapp!$F$5+G28*Prislapp!$G$5+H28*Prislapp!$H$5+I28*Prislapp!$I$5+J28*Prislapp!$J$5+K28*Prislapp!$K$5+L28*Prislapp!$L$5+M28*Prislapp!$M$5+N28*Prislapp!$N$5</f>
        <v>5900</v>
      </c>
      <c r="R28" s="9">
        <f>VLOOKUP(A28,'Ansvar kurs'!$A$3:$B$219,2,FALSE)</f>
        <v>1620</v>
      </c>
      <c r="S28" s="162"/>
      <c r="T28" s="162"/>
      <c r="U28" s="162"/>
      <c r="V28" s="162"/>
      <c r="W28" s="162"/>
      <c r="X28" s="162"/>
      <c r="Y28" s="162"/>
      <c r="Z28" s="162"/>
    </row>
    <row r="29" spans="1:26" x14ac:dyDescent="0.25">
      <c r="A29" s="59" t="s">
        <v>860</v>
      </c>
      <c r="B29" s="32" t="s">
        <v>877</v>
      </c>
      <c r="D29" s="32">
        <v>1</v>
      </c>
      <c r="O29" s="41">
        <f>C29*Prislapp!$C$2+D29*Prislapp!$D$2+E29*Prislapp!$E$2+F29*Prislapp!$F$2+G29*Prislapp!$G$2+H29*Prislapp!$H$2+I29*Prislapp!$I$2+J29*Prislapp!$J$2+K29*Prislapp!$K$2+L29*Prislapp!$L$2+M29*Prislapp!$M$2+N29*Prislapp!$N$2</f>
        <v>19097</v>
      </c>
      <c r="P29" s="41">
        <f>C29*Prislapp!$C$3+D29*Prislapp!$D$3+E29*Prislapp!$E$3+F29*Prislapp!$F$3+G29*Prislapp!$G$3+H29*Prislapp!$H$3+I29*Prislapp!$I$3+J29*Prislapp!$J$3+K29*Prislapp!$K$3+M29*Prislapp!$M$3+N29*Prislapp!$N$3</f>
        <v>16075</v>
      </c>
      <c r="Q29" s="41">
        <f>C29*Prislapp!$C$5+D29*Prislapp!$D$5+E29*Prislapp!$E$5+F29*Prislapp!$F$5+G29*Prislapp!$G$5+H29*Prislapp!$H$5+I29*Prislapp!$I$5+J29*Prislapp!$J$5+K29*Prislapp!$K$5+L29*Prislapp!$L$5+M29*Prislapp!$M$5+N29*Prislapp!$N$5</f>
        <v>5900</v>
      </c>
      <c r="R29" s="9">
        <f>VLOOKUP(A29,'Ansvar kurs'!$A$3:$B$219,2,FALSE)</f>
        <v>1620</v>
      </c>
      <c r="S29" s="162"/>
      <c r="T29" s="162"/>
      <c r="U29" s="162"/>
      <c r="V29" s="162"/>
      <c r="W29" s="162"/>
      <c r="X29" s="162"/>
      <c r="Y29" s="162"/>
      <c r="Z29" s="162"/>
    </row>
    <row r="30" spans="1:26" x14ac:dyDescent="0.25">
      <c r="A30" s="59" t="s">
        <v>828</v>
      </c>
      <c r="B30" s="32" t="s">
        <v>841</v>
      </c>
      <c r="D30" s="32">
        <v>1</v>
      </c>
      <c r="O30" s="41">
        <f>C30*Prislapp!$C$2+D30*Prislapp!$D$2+E30*Prislapp!$E$2+F30*Prislapp!$F$2+G30*Prislapp!$G$2+H30*Prislapp!$H$2+I30*Prislapp!$I$2+J30*Prislapp!$J$2+K30*Prislapp!$K$2+L30*Prislapp!$L$2+M30*Prislapp!$M$2+N30*Prislapp!$N$2</f>
        <v>19097</v>
      </c>
      <c r="P30" s="41">
        <f>C30*Prislapp!$C$3+D30*Prislapp!$D$3+E30*Prislapp!$E$3+F30*Prislapp!$F$3+G30*Prislapp!$G$3+H30*Prislapp!$H$3+I30*Prislapp!$I$3+J30*Prislapp!$J$3+K30*Prislapp!$K$3+M30*Prislapp!$M$3+N30*Prislapp!$N$3</f>
        <v>16075</v>
      </c>
      <c r="Q30" s="41">
        <f>C30*Prislapp!$C$5+D30*Prislapp!$D$5+E30*Prislapp!$E$5+F30*Prislapp!$F$5+G30*Prislapp!$G$5+H30*Prislapp!$H$5+I30*Prislapp!$I$5+J30*Prislapp!$J$5+K30*Prislapp!$K$5+L30*Prislapp!$L$5+M30*Prislapp!$M$5+N30*Prislapp!$N$5</f>
        <v>5900</v>
      </c>
      <c r="R30" s="9">
        <f>VLOOKUP(A30,'Ansvar kurs'!$A$3:$B$219,2,FALSE)</f>
        <v>1620</v>
      </c>
      <c r="S30" s="162"/>
      <c r="T30" s="162"/>
      <c r="U30" s="162"/>
      <c r="V30" s="162"/>
      <c r="W30" s="162"/>
      <c r="X30" s="162"/>
      <c r="Y30" s="162"/>
      <c r="Z30" s="162"/>
    </row>
    <row r="31" spans="1:26" x14ac:dyDescent="0.25">
      <c r="A31" s="59" t="s">
        <v>829</v>
      </c>
      <c r="B31" s="32" t="s">
        <v>842</v>
      </c>
      <c r="D31" s="32">
        <v>1</v>
      </c>
      <c r="O31" s="41">
        <f>C31*Prislapp!$C$2+D31*Prislapp!$D$2+E31*Prislapp!$E$2+F31*Prislapp!$F$2+G31*Prislapp!$G$2+H31*Prislapp!$H$2+I31*Prislapp!$I$2+J31*Prislapp!$J$2+K31*Prislapp!$K$2+L31*Prislapp!$L$2+M31*Prislapp!$M$2+N31*Prislapp!$N$2</f>
        <v>19097</v>
      </c>
      <c r="P31" s="41">
        <f>C31*Prislapp!$C$3+D31*Prislapp!$D$3+E31*Prislapp!$E$3+F31*Prislapp!$F$3+G31*Prislapp!$G$3+H31*Prislapp!$H$3+I31*Prislapp!$I$3+J31*Prislapp!$J$3+K31*Prislapp!$K$3+M31*Prislapp!$M$3+N31*Prislapp!$N$3</f>
        <v>16075</v>
      </c>
      <c r="Q31" s="41">
        <f>C31*Prislapp!$C$5+D31*Prislapp!$D$5+E31*Prislapp!$E$5+F31*Prislapp!$F$5+G31*Prislapp!$G$5+H31*Prislapp!$H$5+I31*Prislapp!$I$5+J31*Prislapp!$J$5+K31*Prislapp!$K$5+L31*Prislapp!$L$5+M31*Prislapp!$M$5+N31*Prislapp!$N$5</f>
        <v>5900</v>
      </c>
      <c r="R31" s="9">
        <f>VLOOKUP(A31,'Ansvar kurs'!$A$3:$B$219,2,FALSE)</f>
        <v>1620</v>
      </c>
      <c r="S31" s="162"/>
      <c r="T31" s="162"/>
      <c r="U31" s="162"/>
      <c r="V31" s="162"/>
      <c r="W31" s="162"/>
      <c r="X31" s="162"/>
      <c r="Y31" s="162"/>
      <c r="Z31" s="162"/>
    </row>
    <row r="32" spans="1:26" x14ac:dyDescent="0.25">
      <c r="A32" s="59" t="s">
        <v>830</v>
      </c>
      <c r="B32" s="32" t="s">
        <v>843</v>
      </c>
      <c r="D32" s="32">
        <v>1</v>
      </c>
      <c r="O32" s="41">
        <f>C32*Prislapp!$C$2+D32*Prislapp!$D$2+E32*Prislapp!$E$2+F32*Prislapp!$F$2+G32*Prislapp!$G$2+H32*Prislapp!$H$2+I32*Prislapp!$I$2+J32*Prislapp!$J$2+K32*Prislapp!$K$2+L32*Prislapp!$L$2+M32*Prislapp!$M$2+N32*Prislapp!$N$2</f>
        <v>19097</v>
      </c>
      <c r="P32" s="41">
        <f>C32*Prislapp!$C$3+D32*Prislapp!$D$3+E32*Prislapp!$E$3+F32*Prislapp!$F$3+G32*Prislapp!$G$3+H32*Prislapp!$H$3+I32*Prislapp!$I$3+J32*Prislapp!$J$3+K32*Prislapp!$K$3+M32*Prislapp!$M$3+N32*Prislapp!$N$3</f>
        <v>16075</v>
      </c>
      <c r="Q32" s="41">
        <f>C32*Prislapp!$C$5+D32*Prislapp!$D$5+E32*Prislapp!$E$5+F32*Prislapp!$F$5+G32*Prislapp!$G$5+H32*Prislapp!$H$5+I32*Prislapp!$I$5+J32*Prislapp!$J$5+K32*Prislapp!$K$5+L32*Prislapp!$L$5+M32*Prislapp!$M$5+N32*Prislapp!$N$5</f>
        <v>5900</v>
      </c>
      <c r="R32" s="9">
        <f>VLOOKUP(A32,'Ansvar kurs'!$A$3:$B$219,2,FALSE)</f>
        <v>1620</v>
      </c>
      <c r="S32" s="185"/>
      <c r="T32" s="162"/>
      <c r="U32" s="162"/>
      <c r="V32" s="162"/>
      <c r="W32" s="162"/>
      <c r="X32" s="162"/>
      <c r="Y32" s="162"/>
      <c r="Z32" s="162"/>
    </row>
    <row r="33" spans="1:26" x14ac:dyDescent="0.25">
      <c r="A33" s="59" t="s">
        <v>921</v>
      </c>
      <c r="B33" s="32" t="s">
        <v>943</v>
      </c>
      <c r="D33" s="32">
        <v>1</v>
      </c>
      <c r="O33" s="41">
        <f>C33*Prislapp!$C$2+D33*Prislapp!$D$2+E33*Prislapp!$E$2+F33*Prislapp!$F$2+G33*Prislapp!$G$2+H33*Prislapp!$H$2+I33*Prislapp!$I$2+J33*Prislapp!$J$2+K33*Prislapp!$K$2+L33*Prislapp!$L$2+M33*Prislapp!$M$2+N33*Prislapp!$N$2</f>
        <v>19097</v>
      </c>
      <c r="P33" s="41">
        <f>C33*Prislapp!$C$3+D33*Prislapp!$D$3+E33*Prislapp!$E$3+F33*Prislapp!$F$3+G33*Prislapp!$G$3+H33*Prislapp!$H$3+I33*Prislapp!$I$3+J33*Prislapp!$J$3+K33*Prislapp!$K$3+M33*Prislapp!$M$3+N33*Prislapp!$N$3</f>
        <v>16075</v>
      </c>
      <c r="Q33" s="41">
        <f>C33*Prislapp!$C$5+D33*Prislapp!$D$5+E33*Prislapp!$E$5+F33*Prislapp!$F$5+G33*Prislapp!$G$5+H33*Prislapp!$H$5+I33*Prislapp!$I$5+J33*Prislapp!$J$5+K33*Prislapp!$K$5+L33*Prislapp!$L$5+M33*Prislapp!$M$5+N33*Prislapp!$N$5</f>
        <v>5900</v>
      </c>
      <c r="R33" s="9">
        <f>VLOOKUP(A33,'Ansvar kurs'!$A$3:$B$219,2,FALSE)</f>
        <v>1620</v>
      </c>
      <c r="S33" s="185"/>
      <c r="T33" s="162"/>
      <c r="U33" s="162"/>
      <c r="V33" s="162"/>
      <c r="W33" s="162"/>
      <c r="X33" s="162"/>
      <c r="Y33" s="162"/>
      <c r="Z33" s="162"/>
    </row>
    <row r="34" spans="1:26" x14ac:dyDescent="0.25">
      <c r="A34" s="32" t="s">
        <v>600</v>
      </c>
      <c r="B34" s="32" t="s">
        <v>625</v>
      </c>
      <c r="D34" s="32">
        <v>1</v>
      </c>
      <c r="O34" s="41">
        <f>C34*Prislapp!$C$2+D34*Prislapp!$D$2+E34*Prislapp!$E$2+F34*Prislapp!$F$2+G34*Prislapp!$G$2+H34*Prislapp!$H$2+I34*Prislapp!$I$2+J34*Prislapp!$J$2+K34*Prislapp!$K$2+L34*Prislapp!$L$2+M34*Prislapp!$M$2+N34*Prislapp!$N$2</f>
        <v>19097</v>
      </c>
      <c r="P34" s="41">
        <f>C34*Prislapp!$C$3+D34*Prislapp!$D$3+E34*Prislapp!$E$3+F34*Prislapp!$F$3+G34*Prislapp!$G$3+H34*Prislapp!$H$3+I34*Prislapp!$I$3+J34*Prislapp!$J$3+K34*Prislapp!$K$3+M34*Prislapp!$M$3+N34*Prislapp!$N$3</f>
        <v>16075</v>
      </c>
      <c r="Q34" s="41">
        <f>C34*Prislapp!$C$5+D34*Prislapp!$D$5+E34*Prislapp!$E$5+F34*Prislapp!$F$5+G34*Prislapp!$G$5+H34*Prislapp!$H$5+I34*Prislapp!$I$5+J34*Prislapp!$J$5+K34*Prislapp!$K$5+L34*Prislapp!$L$5+M34*Prislapp!$M$5+N34*Prislapp!$N$5</f>
        <v>5900</v>
      </c>
      <c r="R34" s="9">
        <f>VLOOKUP(A34,'Ansvar kurs'!$A$3:$B$219,2,FALSE)</f>
        <v>1630</v>
      </c>
      <c r="S34" s="162"/>
      <c r="T34" s="162"/>
      <c r="U34" s="162"/>
      <c r="V34" s="162"/>
      <c r="W34" s="162"/>
      <c r="X34" s="162"/>
      <c r="Y34" s="162"/>
      <c r="Z34" s="162"/>
    </row>
    <row r="35" spans="1:26" x14ac:dyDescent="0.25">
      <c r="A35" s="32" t="s">
        <v>601</v>
      </c>
      <c r="B35" s="32" t="s">
        <v>626</v>
      </c>
      <c r="D35" s="32">
        <v>1</v>
      </c>
      <c r="O35" s="41">
        <f>C35*Prislapp!$C$2+D35*Prislapp!$D$2+E35*Prislapp!$E$2+F35*Prislapp!$F$2+G35*Prislapp!$G$2+H35*Prislapp!$H$2+I35*Prislapp!$I$2+J35*Prislapp!$J$2+K35*Prislapp!$K$2+L35*Prislapp!$L$2+M35*Prislapp!$M$2+N35*Prislapp!$N$2</f>
        <v>19097</v>
      </c>
      <c r="P35" s="41">
        <f>C35*Prislapp!$C$3+D35*Prislapp!$D$3+E35*Prislapp!$E$3+F35*Prislapp!$F$3+G35*Prislapp!$G$3+H35*Prislapp!$H$3+I35*Prislapp!$I$3+J35*Prislapp!$J$3+K35*Prislapp!$K$3+M35*Prislapp!$M$3+N35*Prislapp!$N$3</f>
        <v>16075</v>
      </c>
      <c r="Q35" s="41">
        <f>C35*Prislapp!$C$5+D35*Prislapp!$D$5+E35*Prislapp!$E$5+F35*Prislapp!$F$5+G35*Prislapp!$G$5+H35*Prislapp!$H$5+I35*Prislapp!$I$5+J35*Prislapp!$J$5+K35*Prislapp!$K$5+L35*Prislapp!$L$5+M35*Prislapp!$M$5+N35*Prislapp!$N$5</f>
        <v>5900</v>
      </c>
      <c r="R35" s="9">
        <f>VLOOKUP(A35,'Ansvar kurs'!$A$3:$B$219,2,FALSE)</f>
        <v>1630</v>
      </c>
      <c r="S35" s="162"/>
      <c r="T35" s="162"/>
      <c r="U35" s="162"/>
      <c r="V35" s="162"/>
      <c r="W35" s="162"/>
      <c r="X35" s="162"/>
      <c r="Y35" s="162"/>
      <c r="Z35" s="162"/>
    </row>
    <row r="36" spans="1:26" x14ac:dyDescent="0.25">
      <c r="A36" s="32" t="s">
        <v>772</v>
      </c>
      <c r="B36" s="32" t="s">
        <v>791</v>
      </c>
      <c r="D36" s="32">
        <v>1</v>
      </c>
      <c r="O36" s="41">
        <f>C36*Prislapp!$C$2+D36*Prislapp!$D$2+E36*Prislapp!$E$2+F36*Prislapp!$F$2+G36*Prislapp!$G$2+H36*Prislapp!$H$2+I36*Prislapp!$I$2+J36*Prislapp!$J$2+K36*Prislapp!$K$2+L36*Prislapp!$L$2+M36*Prislapp!$M$2+N36*Prislapp!$N$2</f>
        <v>19097</v>
      </c>
      <c r="P36" s="41">
        <f>C36*Prislapp!$C$3+D36*Prislapp!$D$3+E36*Prislapp!$E$3+F36*Prislapp!$F$3+G36*Prislapp!$G$3+H36*Prislapp!$H$3+I36*Prislapp!$I$3+J36*Prislapp!$J$3+K36*Prislapp!$K$3+M36*Prislapp!$M$3+N36*Prislapp!$N$3</f>
        <v>16075</v>
      </c>
      <c r="Q36" s="41">
        <f>C36*Prislapp!$C$5+D36*Prislapp!$D$5+E36*Prislapp!$E$5+F36*Prislapp!$F$5+G36*Prislapp!$G$5+H36*Prislapp!$H$5+I36*Prislapp!$I$5+J36*Prislapp!$J$5+K36*Prislapp!$K$5+L36*Prislapp!$L$5+M36*Prislapp!$M$5+N36*Prislapp!$N$5</f>
        <v>5900</v>
      </c>
      <c r="R36" s="9">
        <f>VLOOKUP(A36,'Ansvar kurs'!$A$3:$B$219,2,FALSE)</f>
        <v>1630</v>
      </c>
      <c r="S36" s="162"/>
      <c r="T36" s="162"/>
      <c r="U36" s="162"/>
      <c r="V36" s="162"/>
      <c r="W36" s="162"/>
      <c r="X36" s="162"/>
      <c r="Y36" s="162"/>
      <c r="Z36" s="162"/>
    </row>
    <row r="37" spans="1:26" x14ac:dyDescent="0.25">
      <c r="A37" s="59" t="s">
        <v>698</v>
      </c>
      <c r="B37" s="32" t="s">
        <v>731</v>
      </c>
      <c r="D37" s="32">
        <v>1</v>
      </c>
      <c r="O37" s="41">
        <f>C37*Prislapp!$C$2+D37*Prislapp!$D$2+E37*Prislapp!$E$2+F37*Prislapp!$F$2+G37*Prislapp!$G$2+H37*Prislapp!$H$2+I37*Prislapp!$I$2+J37*Prislapp!$J$2+K37*Prislapp!$K$2+L37*Prislapp!$L$2+M37*Prislapp!$M$2+N37*Prislapp!$N$2</f>
        <v>19097</v>
      </c>
      <c r="P37" s="41">
        <f>C37*Prislapp!$C$3+D37*Prislapp!$D$3+E37*Prislapp!$E$3+F37*Prislapp!$F$3+G37*Prislapp!$G$3+H37*Prislapp!$H$3+I37*Prislapp!$I$3+J37*Prislapp!$J$3+K37*Prislapp!$K$3+M37*Prislapp!$M$3+N37*Prislapp!$N$3</f>
        <v>16075</v>
      </c>
      <c r="Q37" s="41">
        <f>C37*Prislapp!$C$5+D37*Prislapp!$D$5+E37*Prislapp!$E$5+F37*Prislapp!$F$5+G37*Prislapp!$G$5+H37*Prislapp!$H$5+I37*Prislapp!$I$5+J37*Prislapp!$J$5+K37*Prislapp!$K$5+L37*Prislapp!$L$5+M37*Prislapp!$M$5+N37*Prislapp!$N$5</f>
        <v>5900</v>
      </c>
      <c r="R37" s="9">
        <f>VLOOKUP(A37,'Ansvar kurs'!$A$3:$B$219,2,FALSE)</f>
        <v>1630</v>
      </c>
      <c r="S37" s="162"/>
      <c r="T37" s="162"/>
      <c r="U37" s="162"/>
      <c r="V37" s="162"/>
      <c r="W37" s="162"/>
      <c r="X37" s="162"/>
      <c r="Y37" s="162"/>
      <c r="Z37" s="162"/>
    </row>
    <row r="38" spans="1:26" x14ac:dyDescent="0.25">
      <c r="A38" s="59" t="s">
        <v>699</v>
      </c>
      <c r="B38" s="56" t="s">
        <v>732</v>
      </c>
      <c r="D38" s="32">
        <v>1</v>
      </c>
      <c r="O38" s="41">
        <f>C38*Prislapp!$C$2+D38*Prislapp!$D$2+E38*Prislapp!$E$2+F38*Prislapp!$F$2+G38*Prislapp!$G$2+H38*Prislapp!$H$2+I38*Prislapp!$I$2+J38*Prislapp!$J$2+K38*Prislapp!$K$2+L38*Prislapp!$L$2+M38*Prislapp!$M$2+N38*Prislapp!$N$2</f>
        <v>19097</v>
      </c>
      <c r="P38" s="41">
        <f>C38*Prislapp!$C$3+D38*Prislapp!$D$3+E38*Prislapp!$E$3+F38*Prislapp!$F$3+G38*Prislapp!$G$3+H38*Prislapp!$H$3+I38*Prislapp!$I$3+J38*Prislapp!$J$3+K38*Prislapp!$K$3+M38*Prislapp!$M$3+N38*Prislapp!$N$3</f>
        <v>16075</v>
      </c>
      <c r="Q38" s="41">
        <f>C38*Prislapp!$C$5+D38*Prislapp!$D$5+E38*Prislapp!$E$5+F38*Prislapp!$F$5+G38*Prislapp!$G$5+H38*Prislapp!$H$5+I38*Prislapp!$I$5+J38*Prislapp!$J$5+K38*Prislapp!$K$5+L38*Prislapp!$L$5+M38*Prislapp!$M$5+N38*Prislapp!$N$5</f>
        <v>5900</v>
      </c>
      <c r="R38" s="9">
        <f>VLOOKUP(A38,'Ansvar kurs'!$A$3:$B$219,2,FALSE)</f>
        <v>1630</v>
      </c>
      <c r="S38" s="162"/>
      <c r="T38" s="162"/>
      <c r="U38" s="162"/>
      <c r="V38" s="162"/>
      <c r="W38" s="162"/>
      <c r="X38" s="162"/>
      <c r="Y38" s="162"/>
      <c r="Z38" s="162"/>
    </row>
    <row r="39" spans="1:26" x14ac:dyDescent="0.25">
      <c r="A39" s="59" t="s">
        <v>700</v>
      </c>
      <c r="B39" s="56" t="s">
        <v>733</v>
      </c>
      <c r="D39" s="32">
        <v>1</v>
      </c>
      <c r="O39" s="41">
        <f>C39*Prislapp!$C$2+D39*Prislapp!$D$2+E39*Prislapp!$E$2+F39*Prislapp!$F$2+G39*Prislapp!$G$2+H39*Prislapp!$H$2+I39*Prislapp!$I$2+J39*Prislapp!$J$2+K39*Prislapp!$K$2+L39*Prislapp!$L$2+M39*Prislapp!$M$2+N39*Prislapp!$N$2</f>
        <v>19097</v>
      </c>
      <c r="P39" s="41">
        <f>C39*Prislapp!$C$3+D39*Prislapp!$D$3+E39*Prislapp!$E$3+F39*Prislapp!$F$3+G39*Prislapp!$G$3+H39*Prislapp!$H$3+I39*Prislapp!$I$3+J39*Prislapp!$J$3+K39*Prislapp!$K$3+M39*Prislapp!$M$3+N39*Prislapp!$N$3</f>
        <v>16075</v>
      </c>
      <c r="Q39" s="41">
        <f>C39*Prislapp!$C$5+D39*Prislapp!$D$5+E39*Prislapp!$E$5+F39*Prislapp!$F$5+G39*Prislapp!$G$5+H39*Prislapp!$H$5+I39*Prislapp!$I$5+J39*Prislapp!$J$5+K39*Prislapp!$K$5+L39*Prislapp!$L$5+M39*Prislapp!$M$5+N39*Prislapp!$N$5</f>
        <v>5900</v>
      </c>
      <c r="R39" s="9">
        <f>VLOOKUP(A39,'Ansvar kurs'!$A$3:$B$219,2,FALSE)</f>
        <v>1630</v>
      </c>
      <c r="S39" s="162"/>
      <c r="T39" s="162"/>
      <c r="U39" s="162"/>
      <c r="V39" s="162"/>
      <c r="W39" s="162"/>
      <c r="X39" s="162"/>
      <c r="Y39" s="162"/>
      <c r="Z39" s="162"/>
    </row>
    <row r="40" spans="1:26" x14ac:dyDescent="0.25">
      <c r="A40" s="59" t="s">
        <v>650</v>
      </c>
      <c r="B40" s="32" t="s">
        <v>659</v>
      </c>
      <c r="D40" s="32">
        <v>1</v>
      </c>
      <c r="O40" s="41">
        <f>C40*Prislapp!$C$2+D40*Prislapp!$D$2+E40*Prislapp!$E$2+F40*Prislapp!$F$2+G40*Prislapp!$G$2+H40*Prislapp!$H$2+I40*Prislapp!$I$2+J40*Prislapp!$J$2+K40*Prislapp!$K$2+L40*Prislapp!$L$2+M40*Prislapp!$M$2+N40*Prislapp!$N$2</f>
        <v>19097</v>
      </c>
      <c r="P40" s="41">
        <f>C40*Prislapp!$C$3+D40*Prislapp!$D$3+E40*Prislapp!$E$3+F40*Prislapp!$F$3+G40*Prislapp!$G$3+H40*Prislapp!$H$3+I40*Prislapp!$I$3+J40*Prislapp!$J$3+K40*Prislapp!$K$3+M40*Prislapp!$M$3+N40*Prislapp!$N$3</f>
        <v>16075</v>
      </c>
      <c r="Q40" s="41">
        <f>C40*Prislapp!$C$5+D40*Prislapp!$D$5+E40*Prislapp!$E$5+F40*Prislapp!$F$5+G40*Prislapp!$G$5+H40*Prislapp!$H$5+I40*Prislapp!$I$5+J40*Prislapp!$J$5+K40*Prislapp!$K$5+L40*Prislapp!$L$5+M40*Prislapp!$M$5+N40*Prislapp!$N$5</f>
        <v>5900</v>
      </c>
      <c r="R40" s="9">
        <f>VLOOKUP(A40,'Ansvar kurs'!$A$3:$B$219,2,FALSE)</f>
        <v>1620</v>
      </c>
      <c r="S40" s="162"/>
      <c r="T40" s="162"/>
      <c r="U40" s="162"/>
      <c r="V40" s="162"/>
      <c r="W40" s="162"/>
      <c r="X40" s="162"/>
      <c r="Y40" s="162"/>
      <c r="Z40" s="162"/>
    </row>
    <row r="41" spans="1:26" x14ac:dyDescent="0.25">
      <c r="A41" s="59" t="s">
        <v>773</v>
      </c>
      <c r="B41" s="32" t="s">
        <v>792</v>
      </c>
      <c r="D41" s="32">
        <v>1</v>
      </c>
      <c r="O41" s="41">
        <f>C41*Prislapp!$C$2+D41*Prislapp!$D$2+E41*Prislapp!$E$2+F41*Prislapp!$F$2+G41*Prislapp!$G$2+H41*Prislapp!$H$2+I41*Prislapp!$I$2+J41*Prislapp!$J$2+K41*Prislapp!$K$2+L41*Prislapp!$L$2+M41*Prislapp!$M$2+N41*Prislapp!$N$2</f>
        <v>19097</v>
      </c>
      <c r="P41" s="41">
        <f>C41*Prislapp!$C$3+D41*Prislapp!$D$3+E41*Prislapp!$E$3+F41*Prislapp!$F$3+G41*Prislapp!$G$3+H41*Prislapp!$H$3+I41*Prislapp!$I$3+J41*Prislapp!$J$3+K41*Prislapp!$K$3+M41*Prislapp!$M$3+N41*Prislapp!$N$3</f>
        <v>16075</v>
      </c>
      <c r="Q41" s="41">
        <f>C41*Prislapp!$C$5+D41*Prislapp!$D$5+E41*Prislapp!$E$5+F41*Prislapp!$F$5+G41*Prislapp!$G$5+H41*Prislapp!$H$5+I41*Prislapp!$I$5+J41*Prislapp!$J$5+K41*Prislapp!$K$5+L41*Prislapp!$L$5+M41*Prislapp!$M$5+N41*Prislapp!$N$5</f>
        <v>5900</v>
      </c>
      <c r="R41" s="9">
        <f>VLOOKUP(A41,'Ansvar kurs'!$A$3:$B$219,2,FALSE)</f>
        <v>1620</v>
      </c>
      <c r="S41" s="162"/>
      <c r="T41" s="162"/>
      <c r="U41" s="162"/>
      <c r="V41" s="162"/>
      <c r="W41" s="162"/>
      <c r="X41" s="162"/>
      <c r="Y41" s="162"/>
      <c r="Z41" s="162"/>
    </row>
    <row r="42" spans="1:26" x14ac:dyDescent="0.25">
      <c r="A42" s="59" t="s">
        <v>651</v>
      </c>
      <c r="B42" s="32" t="s">
        <v>660</v>
      </c>
      <c r="D42" s="32">
        <v>1</v>
      </c>
      <c r="O42" s="41">
        <f>C42*Prislapp!$C$2+D42*Prislapp!$D$2+E42*Prislapp!$E$2+F42*Prislapp!$F$2+G42*Prislapp!$G$2+H42*Prislapp!$H$2+I42*Prislapp!$I$2+J42*Prislapp!$J$2+K42*Prislapp!$K$2+L42*Prislapp!$L$2+M42*Prislapp!$M$2+N42*Prislapp!$N$2</f>
        <v>19097</v>
      </c>
      <c r="P42" s="41">
        <f>C42*Prislapp!$C$3+D42*Prislapp!$D$3+E42*Prislapp!$E$3+F42*Prislapp!$F$3+G42*Prislapp!$G$3+H42*Prislapp!$H$3+I42*Prislapp!$I$3+J42*Prislapp!$J$3+K42*Prislapp!$K$3+M42*Prislapp!$M$3+N42*Prislapp!$N$3</f>
        <v>16075</v>
      </c>
      <c r="Q42" s="41">
        <f>C42*Prislapp!$C$5+D42*Prislapp!$D$5+E42*Prislapp!$E$5+F42*Prislapp!$F$5+G42*Prislapp!$G$5+H42*Prislapp!$H$5+I42*Prislapp!$I$5+J42*Prislapp!$J$5+K42*Prislapp!$K$5+L42*Prislapp!$L$5+M42*Prislapp!$M$5+N42*Prislapp!$N$5</f>
        <v>5900</v>
      </c>
      <c r="R42" s="9">
        <f>VLOOKUP(A42,'Ansvar kurs'!$A$3:$B$219,2,FALSE)</f>
        <v>1620</v>
      </c>
      <c r="S42" s="162"/>
      <c r="T42" s="162"/>
      <c r="U42" s="162"/>
      <c r="V42" s="162"/>
      <c r="W42" s="162"/>
      <c r="X42" s="162"/>
      <c r="Y42" s="162"/>
      <c r="Z42" s="162"/>
    </row>
    <row r="43" spans="1:26" x14ac:dyDescent="0.25">
      <c r="A43" s="59" t="s">
        <v>652</v>
      </c>
      <c r="B43" s="32" t="s">
        <v>661</v>
      </c>
      <c r="D43" s="32">
        <v>1</v>
      </c>
      <c r="O43" s="41">
        <f>C43*Prislapp!$C$2+D43*Prislapp!$D$2+E43*Prislapp!$E$2+F43*Prislapp!$F$2+G43*Prislapp!$G$2+H43*Prislapp!$H$2+I43*Prislapp!$I$2+J43*Prislapp!$J$2+K43*Prislapp!$K$2+L43*Prislapp!$L$2+M43*Prislapp!$M$2+N43*Prislapp!$N$2</f>
        <v>19097</v>
      </c>
      <c r="P43" s="41">
        <f>C43*Prislapp!$C$3+D43*Prislapp!$D$3+E43*Prislapp!$E$3+F43*Prislapp!$F$3+G43*Prislapp!$G$3+H43*Prislapp!$H$3+I43*Prislapp!$I$3+J43*Prislapp!$J$3+K43*Prislapp!$K$3+M43*Prislapp!$M$3+N43*Prislapp!$N$3</f>
        <v>16075</v>
      </c>
      <c r="Q43" s="41">
        <f>C43*Prislapp!$C$5+D43*Prislapp!$D$5+E43*Prislapp!$E$5+F43*Prislapp!$F$5+G43*Prislapp!$G$5+H43*Prislapp!$H$5+I43*Prislapp!$I$5+J43*Prislapp!$J$5+K43*Prislapp!$K$5+L43*Prislapp!$L$5+M43*Prislapp!$M$5+N43*Prislapp!$N$5</f>
        <v>5900</v>
      </c>
      <c r="R43" s="9">
        <f>VLOOKUP(A43,'Ansvar kurs'!$A$3:$B$219,2,FALSE)</f>
        <v>1620</v>
      </c>
      <c r="S43" s="162"/>
      <c r="T43" s="162"/>
      <c r="U43" s="162"/>
      <c r="V43" s="162"/>
      <c r="W43" s="162"/>
      <c r="X43" s="162"/>
      <c r="Y43" s="162"/>
      <c r="Z43" s="162"/>
    </row>
    <row r="44" spans="1:26" x14ac:dyDescent="0.25">
      <c r="A44" s="32" t="s">
        <v>602</v>
      </c>
      <c r="B44" s="32" t="s">
        <v>627</v>
      </c>
      <c r="M44" s="32">
        <v>1</v>
      </c>
      <c r="O44" s="41">
        <f>C44*Prislapp!$C$2+D44*Prislapp!$D$2+E44*Prislapp!$E$2+F44*Prislapp!$F$2+G44*Prislapp!$G$2+H44*Prislapp!$H$2+I44*Prislapp!$I$2+J44*Prislapp!$J$2+K44*Prislapp!$K$2+L44*Prislapp!$L$2+M44*Prislapp!$M$2+N44*Prislapp!$N$2</f>
        <v>16181</v>
      </c>
      <c r="P44" s="41">
        <f>C44*Prislapp!$C$3+D44*Prislapp!$D$3+E44*Prislapp!$E$3+F44*Prislapp!$F$3+G44*Prislapp!$G$3+H44*Prislapp!$H$3+I44*Prislapp!$I$3+J44*Prislapp!$J$3+K44*Prislapp!$K$3+M44*Prislapp!$M$3+N44*Prislapp!$N$3</f>
        <v>27441</v>
      </c>
      <c r="Q44" s="41">
        <f>C44*Prislapp!$C$5+D44*Prislapp!$D$5+E44*Prislapp!$E$5+F44*Prislapp!$F$5+G44*Prislapp!$G$5+H44*Prislapp!$H$5+I44*Prislapp!$I$5+J44*Prislapp!$J$5+K44*Prislapp!$K$5+L44*Prislapp!$L$5+M44*Prislapp!$M$5+N44*Prislapp!$N$5</f>
        <v>17600</v>
      </c>
      <c r="R44" s="9">
        <f>VLOOKUP(A44,'Ansvar kurs'!$A$3:$B$219,2,FALSE)</f>
        <v>1620</v>
      </c>
      <c r="S44" s="162"/>
      <c r="T44" s="162"/>
      <c r="U44" s="162"/>
      <c r="V44" s="162"/>
      <c r="W44" s="162"/>
      <c r="X44" s="162"/>
      <c r="Y44" s="162"/>
      <c r="Z44" s="162"/>
    </row>
    <row r="45" spans="1:26" x14ac:dyDescent="0.25">
      <c r="A45" s="59" t="s">
        <v>701</v>
      </c>
      <c r="B45" s="32" t="s">
        <v>734</v>
      </c>
      <c r="M45" s="32">
        <v>1</v>
      </c>
      <c r="O45" s="41">
        <f>C45*Prislapp!$C$2+D45*Prislapp!$D$2+E45*Prislapp!$E$2+F45*Prislapp!$F$2+G45*Prislapp!$G$2+H45*Prislapp!$H$2+I45*Prislapp!$I$2+J45*Prislapp!$J$2+K45*Prislapp!$K$2+L45*Prislapp!$L$2+M45*Prislapp!$M$2+N45*Prislapp!$N$2</f>
        <v>16181</v>
      </c>
      <c r="P45" s="41">
        <f>C45*Prislapp!$C$3+D45*Prislapp!$D$3+E45*Prislapp!$E$3+F45*Prislapp!$F$3+G45*Prislapp!$G$3+H45*Prislapp!$H$3+I45*Prislapp!$I$3+J45*Prislapp!$J$3+K45*Prislapp!$K$3+M45*Prislapp!$M$3+N45*Prislapp!$N$3</f>
        <v>27441</v>
      </c>
      <c r="Q45" s="41">
        <f>C45*Prislapp!$C$5+D45*Prislapp!$D$5+E45*Prislapp!$E$5+F45*Prislapp!$F$5+G45*Prislapp!$G$5+H45*Prislapp!$H$5+I45*Prislapp!$I$5+J45*Prislapp!$J$5+K45*Prislapp!$K$5+L45*Prislapp!$L$5+M45*Prislapp!$M$5+N45*Prislapp!$N$5</f>
        <v>17600</v>
      </c>
      <c r="R45" s="9">
        <f>VLOOKUP(A45,'Ansvar kurs'!$A$3:$B$219,2,FALSE)</f>
        <v>1620</v>
      </c>
      <c r="S45" s="162"/>
      <c r="T45" s="162"/>
      <c r="U45" s="162"/>
      <c r="V45" s="162"/>
      <c r="W45" s="162"/>
      <c r="X45" s="162"/>
      <c r="Y45" s="162"/>
      <c r="Z45" s="162"/>
    </row>
    <row r="46" spans="1:26" s="56" customFormat="1" x14ac:dyDescent="0.25">
      <c r="A46" s="56" t="s">
        <v>831</v>
      </c>
      <c r="B46" s="56" t="s">
        <v>844</v>
      </c>
      <c r="D46" s="56">
        <v>0.75</v>
      </c>
      <c r="J46" s="56">
        <v>0.25</v>
      </c>
      <c r="O46" s="382">
        <f>C46*Prislapp!$C$2+D46*Prislapp!$D$2+E46*Prislapp!$E$2+F46*Prislapp!$F$2+G46*Prislapp!$G$2+H46*Prislapp!$H$2+I46*Prislapp!$I$2+J46*Prislapp!$J$2+K46*Prislapp!$K$2+L46*Prislapp!$L$2+M46*Prislapp!$M$2+N46*Prislapp!$N$2</f>
        <v>19288.5</v>
      </c>
      <c r="P46" s="382">
        <f>C46*Prislapp!$C$3+D46*Prislapp!$D$3+E46*Prislapp!$E$3+F46*Prislapp!$F$3+G46*Prislapp!$G$3+H46*Prislapp!$H$3+I46*Prislapp!$I$3+J46*Prislapp!$J$3+K46*Prislapp!$K$3+M46*Prislapp!$M$3+N46*Prislapp!$N$3</f>
        <v>20924.25</v>
      </c>
      <c r="Q46" s="382">
        <f>C46*Prislapp!$C$5+D46*Prislapp!$D$5+E46*Prislapp!$E$5+F46*Prislapp!$F$5+G46*Prislapp!$G$5+H46*Prislapp!$H$5+I46*Prislapp!$I$5+J46*Prislapp!$J$5+K46*Prislapp!$K$5+L46*Prislapp!$L$5+M46*Prislapp!$M$5+N46*Prislapp!$N$5</f>
        <v>9975</v>
      </c>
      <c r="R46" s="297">
        <f>VLOOKUP(A46,'Ansvar kurs'!$A$3:$B$219,2,FALSE)</f>
        <v>1650</v>
      </c>
      <c r="S46" s="185"/>
      <c r="T46" s="185"/>
      <c r="U46" s="185"/>
      <c r="V46" s="185"/>
      <c r="W46" s="185"/>
      <c r="X46" s="185"/>
      <c r="Y46" s="185"/>
      <c r="Z46" s="185"/>
    </row>
    <row r="47" spans="1:26" x14ac:dyDescent="0.25">
      <c r="A47" s="32" t="s">
        <v>552</v>
      </c>
      <c r="B47" s="32" t="s">
        <v>559</v>
      </c>
      <c r="D47" s="32">
        <v>1</v>
      </c>
      <c r="O47" s="41">
        <f>C47*Prislapp!$C$2+D47*Prislapp!$D$2+E47*Prislapp!$E$2+F47*Prislapp!$F$2+G47*Prislapp!$G$2+H47*Prislapp!$H$2+I47*Prislapp!$I$2+J47*Prislapp!$J$2+K47*Prislapp!$K$2+L47*Prislapp!$L$2+M47*Prislapp!$M$2+N47*Prislapp!$N$2</f>
        <v>19097</v>
      </c>
      <c r="P47" s="41">
        <f>C47*Prislapp!$C$3+D47*Prislapp!$D$3+E47*Prislapp!$E$3+F47*Prislapp!$F$3+G47*Prislapp!$G$3+H47*Prislapp!$H$3+I47*Prislapp!$I$3+J47*Prislapp!$J$3+K47*Prislapp!$K$3+M47*Prislapp!$M$3+N47*Prislapp!$N$3</f>
        <v>16075</v>
      </c>
      <c r="Q47" s="41">
        <f>C47*Prislapp!$C$5+D47*Prislapp!$D$5+E47*Prislapp!$E$5+F47*Prislapp!$F$5+G47*Prislapp!$G$5+H47*Prislapp!$H$5+I47*Prislapp!$I$5+J47*Prislapp!$J$5+K47*Prislapp!$K$5+L47*Prislapp!$L$5+M47*Prislapp!$M$5+N47*Prislapp!$N$5</f>
        <v>5900</v>
      </c>
      <c r="R47" s="9">
        <f>VLOOKUP(A47,'Ansvar kurs'!$A$3:$B$219,2,FALSE)</f>
        <v>1620</v>
      </c>
      <c r="S47" s="162"/>
      <c r="T47" s="162"/>
      <c r="U47" s="162"/>
      <c r="V47" s="162"/>
      <c r="W47" s="162"/>
      <c r="X47" s="162"/>
      <c r="Y47" s="162"/>
      <c r="Z47" s="162"/>
    </row>
    <row r="48" spans="1:26" x14ac:dyDescent="0.25">
      <c r="A48" s="32" t="s">
        <v>522</v>
      </c>
      <c r="B48" s="32" t="s">
        <v>523</v>
      </c>
      <c r="D48" s="32">
        <v>1</v>
      </c>
      <c r="O48" s="41">
        <f>C48*Prislapp!$C$2+D48*Prislapp!$D$2+E48*Prislapp!$E$2+F48*Prislapp!$F$2+G48*Prislapp!$G$2+H48*Prislapp!$H$2+I48*Prislapp!$I$2+J48*Prislapp!$J$2+K48*Prislapp!$K$2+L48*Prislapp!$L$2+M48*Prislapp!$M$2+N48*Prislapp!$N$2</f>
        <v>19097</v>
      </c>
      <c r="P48" s="41">
        <f>C48*Prislapp!$C$3+D48*Prislapp!$D$3+E48*Prislapp!$E$3+F48*Prislapp!$F$3+G48*Prislapp!$G$3+H48*Prislapp!$H$3+I48*Prislapp!$I$3+J48*Prislapp!$J$3+K48*Prislapp!$K$3+M48*Prislapp!$M$3+N48*Prislapp!$N$3</f>
        <v>16075</v>
      </c>
      <c r="Q48" s="41">
        <f>C48*Prislapp!$C$5+D48*Prislapp!$D$5+E48*Prislapp!$E$5+F48*Prislapp!$F$5+G48*Prislapp!$G$5+H48*Prislapp!$H$5+I48*Prislapp!$I$5+J48*Prislapp!$J$5+K48*Prislapp!$K$5+L48*Prislapp!$L$5+M48*Prislapp!$M$5+N48*Prislapp!$N$5</f>
        <v>5900</v>
      </c>
      <c r="R48" s="9">
        <f>VLOOKUP(A48,'Ansvar kurs'!$A$3:$B$219,2,FALSE)</f>
        <v>1620</v>
      </c>
      <c r="S48" s="162"/>
      <c r="T48" s="162"/>
      <c r="U48" s="162"/>
      <c r="V48" s="162"/>
      <c r="W48" s="162"/>
      <c r="X48" s="162"/>
      <c r="Y48" s="162"/>
      <c r="Z48" s="162"/>
    </row>
    <row r="49" spans="1:26" x14ac:dyDescent="0.25">
      <c r="A49" s="59" t="s">
        <v>774</v>
      </c>
      <c r="B49" s="32" t="s">
        <v>793</v>
      </c>
      <c r="D49" s="32">
        <v>1</v>
      </c>
      <c r="O49" s="41">
        <f>C49*Prislapp!$C$2+D49*Prislapp!$D$2+E49*Prislapp!$E$2+F49*Prislapp!$F$2+G49*Prislapp!$G$2+H49*Prislapp!$H$2+I49*Prislapp!$I$2+J49*Prislapp!$J$2+K49*Prislapp!$K$2+L49*Prislapp!$L$2+M49*Prislapp!$M$2+N49*Prislapp!$N$2</f>
        <v>19097</v>
      </c>
      <c r="P49" s="41">
        <f>C49*Prislapp!$C$3+D49*Prislapp!$D$3+E49*Prislapp!$E$3+F49*Prislapp!$F$3+G49*Prislapp!$G$3+H49*Prislapp!$H$3+I49*Prislapp!$I$3+J49*Prislapp!$J$3+K49*Prislapp!$K$3+M49*Prislapp!$M$3+N49*Prislapp!$N$3</f>
        <v>16075</v>
      </c>
      <c r="Q49" s="41">
        <f>C49*Prislapp!$C$5+D49*Prislapp!$D$5+E49*Prislapp!$E$5+F49*Prislapp!$F$5+G49*Prislapp!$G$5+H49*Prislapp!$H$5+I49*Prislapp!$I$5+J49*Prislapp!$J$5+K49*Prislapp!$K$5+L49*Prislapp!$L$5+M49*Prislapp!$M$5+N49*Prislapp!$N$5</f>
        <v>5900</v>
      </c>
      <c r="R49" s="9">
        <f>VLOOKUP(A49,'Ansvar kurs'!$A$3:$B$219,2,FALSE)</f>
        <v>1620</v>
      </c>
      <c r="S49" s="162"/>
      <c r="T49" s="162"/>
      <c r="U49" s="162"/>
      <c r="V49" s="162"/>
      <c r="W49" s="162"/>
      <c r="X49" s="162"/>
      <c r="Y49" s="162"/>
      <c r="Z49" s="162"/>
    </row>
    <row r="50" spans="1:26" x14ac:dyDescent="0.25">
      <c r="A50" s="59" t="s">
        <v>702</v>
      </c>
      <c r="B50" s="32" t="s">
        <v>735</v>
      </c>
      <c r="D50" s="32">
        <v>1</v>
      </c>
      <c r="O50" s="41">
        <f>C50*Prislapp!$C$2+D50*Prislapp!$D$2+E50*Prislapp!$E$2+F50*Prislapp!$F$2+G50*Prislapp!$G$2+H50*Prislapp!$H$2+I50*Prislapp!$I$2+J50*Prislapp!$J$2+K50*Prislapp!$K$2+L50*Prislapp!$L$2+M50*Prislapp!$M$2+N50*Prislapp!$N$2</f>
        <v>19097</v>
      </c>
      <c r="P50" s="41">
        <f>C50*Prislapp!$C$3+D50*Prislapp!$D$3+E50*Prislapp!$E$3+F50*Prislapp!$F$3+G50*Prislapp!$G$3+H50*Prislapp!$H$3+I50*Prislapp!$I$3+J50*Prislapp!$J$3+K50*Prislapp!$K$3+M50*Prislapp!$M$3+N50*Prislapp!$N$3</f>
        <v>16075</v>
      </c>
      <c r="Q50" s="41">
        <f>C50*Prislapp!$C$5+D50*Prislapp!$D$5+E50*Prislapp!$E$5+F50*Prislapp!$F$5+G50*Prislapp!$G$5+H50*Prislapp!$H$5+I50*Prislapp!$I$5+J50*Prislapp!$J$5+K50*Prislapp!$K$5+L50*Prislapp!$L$5+M50*Prislapp!$M$5+N50*Prislapp!$N$5</f>
        <v>5900</v>
      </c>
      <c r="R50" s="9">
        <f>VLOOKUP(A50,'Ansvar kurs'!$A$3:$B$219,2,FALSE)</f>
        <v>1620</v>
      </c>
      <c r="S50" s="162"/>
      <c r="T50" s="162"/>
      <c r="U50" s="162"/>
      <c r="V50" s="162"/>
      <c r="W50" s="162"/>
      <c r="X50" s="162"/>
      <c r="Y50" s="162"/>
      <c r="Z50" s="162"/>
    </row>
    <row r="51" spans="1:26" x14ac:dyDescent="0.25">
      <c r="A51" s="59" t="s">
        <v>665</v>
      </c>
      <c r="B51" s="59" t="s">
        <v>670</v>
      </c>
      <c r="D51" s="32">
        <v>1</v>
      </c>
      <c r="O51" s="41">
        <f>C51*Prislapp!$C$2+D51*Prislapp!$D$2+E51*Prislapp!$E$2+F51*Prislapp!$F$2+G51*Prislapp!$G$2+H51*Prislapp!$H$2+I51*Prislapp!$I$2+J51*Prislapp!$J$2+K51*Prislapp!$K$2+L51*Prislapp!$L$2+M51*Prislapp!$M$2+N51*Prislapp!$N$2</f>
        <v>19097</v>
      </c>
      <c r="P51" s="41">
        <f>C51*Prislapp!$C$3+D51*Prislapp!$D$3+E51*Prislapp!$E$3+F51*Prislapp!$F$3+G51*Prislapp!$G$3+H51*Prislapp!$H$3+I51*Prislapp!$I$3+J51*Prislapp!$J$3+K51*Prislapp!$K$3+M51*Prislapp!$M$3+N51*Prislapp!$N$3</f>
        <v>16075</v>
      </c>
      <c r="Q51" s="41">
        <f>C51*Prislapp!$C$5+D51*Prislapp!$D$5+E51*Prislapp!$E$5+F51*Prislapp!$F$5+G51*Prislapp!$G$5+H51*Prislapp!$H$5+I51*Prislapp!$I$5+J51*Prislapp!$J$5+K51*Prislapp!$K$5+L51*Prislapp!$L$5+M51*Prislapp!$M$5+N51*Prislapp!$N$5</f>
        <v>5900</v>
      </c>
      <c r="R51" s="9">
        <f>VLOOKUP(A51,'Ansvar kurs'!$A$3:$B$219,2,FALSE)</f>
        <v>1620</v>
      </c>
      <c r="S51" s="162"/>
      <c r="T51" s="162"/>
      <c r="U51" s="162"/>
      <c r="V51" s="162"/>
      <c r="W51" s="162"/>
      <c r="X51" s="162"/>
      <c r="Y51" s="162"/>
      <c r="Z51" s="162"/>
    </row>
    <row r="52" spans="1:26" x14ac:dyDescent="0.25">
      <c r="A52" s="32" t="s">
        <v>553</v>
      </c>
      <c r="B52" s="32" t="s">
        <v>560</v>
      </c>
      <c r="D52" s="32">
        <v>1</v>
      </c>
      <c r="O52" s="41">
        <f>C52*Prislapp!$C$2+D52*Prislapp!$D$2+E52*Prislapp!$E$2+F52*Prislapp!$F$2+G52*Prislapp!$G$2+H52*Prislapp!$H$2+I52*Prislapp!$I$2+J52*Prislapp!$J$2+K52*Prislapp!$K$2+L52*Prislapp!$L$2+M52*Prislapp!$M$2+N52*Prislapp!$N$2</f>
        <v>19097</v>
      </c>
      <c r="P52" s="41">
        <f>C52*Prislapp!$C$3+D52*Prislapp!$D$3+E52*Prislapp!$E$3+F52*Prislapp!$F$3+G52*Prislapp!$G$3+H52*Prislapp!$H$3+I52*Prislapp!$I$3+J52*Prislapp!$J$3+K52*Prislapp!$K$3+M52*Prislapp!$M$3+N52*Prislapp!$N$3</f>
        <v>16075</v>
      </c>
      <c r="Q52" s="41">
        <f>C52*Prislapp!$C$5+D52*Prislapp!$D$5+E52*Prislapp!$E$5+F52*Prislapp!$F$5+G52*Prislapp!$G$5+H52*Prislapp!$H$5+I52*Prislapp!$I$5+J52*Prislapp!$J$5+K52*Prislapp!$K$5+L52*Prislapp!$L$5+M52*Prislapp!$M$5+N52*Prislapp!$N$5</f>
        <v>5900</v>
      </c>
      <c r="R52" s="9">
        <f>VLOOKUP(A52,'Ansvar kurs'!$A$3:$B$219,2,FALSE)</f>
        <v>1620</v>
      </c>
      <c r="S52" s="162"/>
      <c r="T52" s="162"/>
      <c r="U52" s="162"/>
      <c r="V52" s="162"/>
      <c r="W52" s="162"/>
      <c r="X52" s="162"/>
      <c r="Y52" s="162"/>
      <c r="Z52" s="162"/>
    </row>
    <row r="53" spans="1:26" x14ac:dyDescent="0.25">
      <c r="A53" s="32" t="s">
        <v>741</v>
      </c>
      <c r="B53" s="32" t="s">
        <v>751</v>
      </c>
      <c r="D53" s="32">
        <v>1</v>
      </c>
      <c r="O53" s="41">
        <f>C53*Prislapp!$C$2+D53*Prislapp!$D$2+E53*Prislapp!$E$2+F53*Prislapp!$F$2+G53*Prislapp!$G$2+H53*Prislapp!$H$2+I53*Prislapp!$I$2+J53*Prislapp!$J$2+K53*Prislapp!$K$2+L53*Prislapp!$L$2+M53*Prislapp!$M$2+N53*Prislapp!$N$2</f>
        <v>19097</v>
      </c>
      <c r="P53" s="41">
        <f>C53*Prislapp!$C$3+D53*Prislapp!$D$3+E53*Prislapp!$E$3+F53*Prislapp!$F$3+G53*Prislapp!$G$3+H53*Prislapp!$H$3+I53*Prislapp!$I$3+J53*Prislapp!$J$3+K53*Prislapp!$K$3+M53*Prislapp!$M$3+N53*Prislapp!$N$3</f>
        <v>16075</v>
      </c>
      <c r="Q53" s="41">
        <f>C53*Prislapp!$C$5+D53*Prislapp!$D$5+E53*Prislapp!$E$5+F53*Prislapp!$F$5+G53*Prislapp!$G$5+H53*Prislapp!$H$5+I53*Prislapp!$I$5+J53*Prislapp!$J$5+K53*Prislapp!$K$5+L53*Prislapp!$L$5+M53*Prislapp!$M$5+N53*Prislapp!$N$5</f>
        <v>5900</v>
      </c>
      <c r="R53" s="9">
        <f>VLOOKUP(A53,'Ansvar kurs'!$A$3:$B$219,2,FALSE)</f>
        <v>1620</v>
      </c>
      <c r="S53" s="162"/>
      <c r="T53" s="162"/>
      <c r="U53" s="162"/>
      <c r="V53" s="162"/>
      <c r="W53" s="162"/>
      <c r="X53" s="162"/>
      <c r="Y53" s="162"/>
      <c r="Z53" s="162"/>
    </row>
    <row r="54" spans="1:26" x14ac:dyDescent="0.25">
      <c r="A54" s="32" t="s">
        <v>853</v>
      </c>
      <c r="B54" s="32" t="s">
        <v>854</v>
      </c>
      <c r="D54" s="32">
        <v>1</v>
      </c>
      <c r="O54" s="41">
        <f>C54*Prislapp!$C$2+D54*Prislapp!$D$2+E54*Prislapp!$E$2+F54*Prislapp!$F$2+G54*Prislapp!$G$2+H54*Prislapp!$H$2+I54*Prislapp!$I$2+J54*Prislapp!$J$2+K54*Prislapp!$K$2+L54*Prislapp!$L$2+M54*Prislapp!$M$2+N54*Prislapp!$N$2</f>
        <v>19097</v>
      </c>
      <c r="P54" s="41">
        <f>C54*Prislapp!$C$3+D54*Prislapp!$D$3+E54*Prislapp!$E$3+F54*Prislapp!$F$3+G54*Prislapp!$G$3+H54*Prislapp!$H$3+I54*Prislapp!$I$3+J54*Prislapp!$J$3+K54*Prislapp!$K$3+M54*Prislapp!$M$3+N54*Prislapp!$N$3</f>
        <v>16075</v>
      </c>
      <c r="Q54" s="41">
        <f>C54*Prislapp!$C$5+D54*Prislapp!$D$5+E54*Prislapp!$E$5+F54*Prislapp!$F$5+G54*Prislapp!$G$5+H54*Prislapp!$H$5+I54*Prislapp!$I$5+J54*Prislapp!$J$5+K54*Prislapp!$K$5+L54*Prislapp!$L$5+M54*Prislapp!$M$5+N54*Prislapp!$N$5</f>
        <v>5900</v>
      </c>
      <c r="R54" s="9">
        <f>VLOOKUP(A54,'Ansvar kurs'!$A$3:$B$219,2,FALSE)</f>
        <v>1620</v>
      </c>
      <c r="S54" s="162"/>
      <c r="T54" s="162"/>
      <c r="U54" s="162"/>
      <c r="V54" s="162"/>
      <c r="W54" s="162"/>
      <c r="X54" s="162"/>
      <c r="Y54" s="162"/>
      <c r="Z54" s="162"/>
    </row>
    <row r="55" spans="1:26" s="349" customFormat="1" x14ac:dyDescent="0.25">
      <c r="A55" s="349" t="s">
        <v>832</v>
      </c>
      <c r="B55" s="349" t="s">
        <v>845</v>
      </c>
      <c r="D55" s="349">
        <v>1</v>
      </c>
      <c r="O55" s="41">
        <f>C55*Prislapp!$C$2+D55*Prislapp!$D$2+E55*Prislapp!$E$2+F55*Prislapp!$F$2+G55*Prislapp!$G$2+H55*Prislapp!$H$2+I55*Prislapp!$I$2+J55*Prislapp!$J$2+K55*Prislapp!$K$2+L55*Prislapp!$L$2+M55*Prislapp!$M$2+N55*Prislapp!$N$2</f>
        <v>19097</v>
      </c>
      <c r="P55" s="41">
        <f>C55*Prislapp!$C$3+D55*Prislapp!$D$3+E55*Prislapp!$E$3+F55*Prislapp!$F$3+G55*Prislapp!$G$3+H55*Prislapp!$H$3+I55*Prislapp!$I$3+J55*Prislapp!$J$3+K55*Prislapp!$K$3+M55*Prislapp!$M$3+N55*Prislapp!$N$3</f>
        <v>16075</v>
      </c>
      <c r="Q55" s="41">
        <f>C55*Prislapp!$C$5+D55*Prislapp!$D$5+E55*Prislapp!$E$5+F55*Prislapp!$F$5+G55*Prislapp!$G$5+H55*Prislapp!$H$5+I55*Prislapp!$I$5+J55*Prislapp!$J$5+K55*Prislapp!$K$5+L55*Prislapp!$L$5+M55*Prislapp!$M$5+N55*Prislapp!$N$5</f>
        <v>5900</v>
      </c>
      <c r="R55" s="9">
        <f>VLOOKUP(A55,'Ansvar kurs'!$A$3:$B$219,2,FALSE)</f>
        <v>1620</v>
      </c>
      <c r="S55" s="383" t="s">
        <v>848</v>
      </c>
      <c r="T55" s="383"/>
      <c r="U55" s="383"/>
      <c r="V55" s="383"/>
      <c r="W55" s="383"/>
      <c r="X55" s="383"/>
      <c r="Y55" s="383"/>
      <c r="Z55" s="383"/>
    </row>
    <row r="56" spans="1:26" x14ac:dyDescent="0.25">
      <c r="A56" s="59" t="s">
        <v>666</v>
      </c>
      <c r="B56" s="59" t="s">
        <v>671</v>
      </c>
      <c r="D56" s="32">
        <v>1</v>
      </c>
      <c r="O56" s="41">
        <f>C56*Prislapp!$C$2+D56*Prislapp!$D$2+E56*Prislapp!$E$2+F56*Prislapp!$F$2+G56*Prislapp!$G$2+H56*Prislapp!$H$2+I56*Prislapp!$I$2+J56*Prislapp!$J$2+K56*Prislapp!$K$2+L56*Prislapp!$L$2+M56*Prislapp!$M$2+N56*Prislapp!$N$2</f>
        <v>19097</v>
      </c>
      <c r="P56" s="41">
        <f>C56*Prislapp!$C$3+D56*Prislapp!$D$3+E56*Prislapp!$E$3+F56*Prislapp!$F$3+G56*Prislapp!$G$3+H56*Prislapp!$H$3+I56*Prislapp!$I$3+J56*Prislapp!$J$3+K56*Prislapp!$K$3+M56*Prislapp!$M$3+N56*Prislapp!$N$3</f>
        <v>16075</v>
      </c>
      <c r="Q56" s="41">
        <f>C56*Prislapp!$C$5+D56*Prislapp!$D$5+E56*Prislapp!$E$5+F56*Prislapp!$F$5+G56*Prislapp!$G$5+H56*Prislapp!$H$5+I56*Prislapp!$I$5+J56*Prislapp!$J$5+K56*Prislapp!$K$5+L56*Prislapp!$L$5+M56*Prislapp!$M$5+N56*Prislapp!$N$5</f>
        <v>5900</v>
      </c>
      <c r="R56" s="9">
        <f>VLOOKUP(A56,'Ansvar kurs'!$A$3:$B$219,2,FALSE)</f>
        <v>1620</v>
      </c>
      <c r="S56" s="162"/>
      <c r="T56" s="162"/>
      <c r="U56" s="162"/>
      <c r="V56" s="162"/>
      <c r="W56" s="162"/>
      <c r="X56" s="162"/>
      <c r="Y56" s="162"/>
      <c r="Z56" s="162"/>
    </row>
    <row r="57" spans="1:26" x14ac:dyDescent="0.25">
      <c r="A57" s="32" t="s">
        <v>603</v>
      </c>
      <c r="B57" s="32" t="s">
        <v>628</v>
      </c>
      <c r="H57" s="32">
        <v>1</v>
      </c>
      <c r="O57" s="41">
        <f>C57*Prislapp!$C$2+D57*Prislapp!$D$2+E57*Prislapp!$E$2+F57*Prislapp!$F$2+G57*Prislapp!$G$2+H57*Prislapp!$H$2+I57*Prislapp!$I$2+J57*Prislapp!$J$2+K57*Prislapp!$K$2+L57*Prislapp!$L$2+M57*Prislapp!$M$2+N57*Prislapp!$N$2</f>
        <v>19863</v>
      </c>
      <c r="P57" s="41">
        <f>C57*Prislapp!$C$3+D57*Prislapp!$D$3+E57*Prislapp!$E$3+F57*Prislapp!$F$3+G57*Prislapp!$G$3+H57*Prislapp!$H$3+I57*Prislapp!$I$3+J57*Prislapp!$J$3+K57*Prislapp!$K$3+M57*Prislapp!$M$3+N57*Prislapp!$N$3</f>
        <v>35472</v>
      </c>
      <c r="Q57" s="41">
        <f>C57*Prislapp!$C$5+D57*Prislapp!$D$5+E57*Prislapp!$E$5+F57*Prislapp!$F$5+G57*Prislapp!$G$5+H57*Prislapp!$H$5+I57*Prislapp!$I$5+J57*Prislapp!$J$5+K57*Prislapp!$K$5+L57*Prislapp!$L$5+M57*Prislapp!$M$5+N57*Prislapp!$N$5</f>
        <v>22200</v>
      </c>
      <c r="R57" s="9">
        <f>VLOOKUP(A57,'Ansvar kurs'!$A$3:$B$219,2,FALSE)</f>
        <v>2193</v>
      </c>
      <c r="S57" s="162"/>
      <c r="T57" s="162"/>
      <c r="U57" s="162"/>
      <c r="V57" s="162"/>
      <c r="W57" s="162"/>
      <c r="X57" s="162"/>
      <c r="Y57" s="162"/>
      <c r="Z57" s="162"/>
    </row>
    <row r="58" spans="1:26" x14ac:dyDescent="0.25">
      <c r="A58" s="32" t="s">
        <v>604</v>
      </c>
      <c r="B58" s="32" t="s">
        <v>629</v>
      </c>
      <c r="H58" s="32">
        <v>1</v>
      </c>
      <c r="O58" s="41">
        <f>C58*Prislapp!$C$2+D58*Prislapp!$D$2+E58*Prislapp!$E$2+F58*Prislapp!$F$2+G58*Prislapp!$G$2+H58*Prislapp!$H$2+I58*Prislapp!$I$2+J58*Prislapp!$J$2+K58*Prislapp!$K$2+L58*Prislapp!$L$2+M58*Prislapp!$M$2+N58*Prislapp!$N$2</f>
        <v>19863</v>
      </c>
      <c r="P58" s="41">
        <f>C58*Prislapp!$C$3+D58*Prislapp!$D$3+E58*Prislapp!$E$3+F58*Prislapp!$F$3+G58*Prislapp!$G$3+H58*Prislapp!$H$3+I58*Prislapp!$I$3+J58*Prislapp!$J$3+K58*Prislapp!$K$3+M58*Prislapp!$M$3+N58*Prislapp!$N$3</f>
        <v>35472</v>
      </c>
      <c r="Q58" s="41">
        <f>C58*Prislapp!$C$5+D58*Prislapp!$D$5+E58*Prislapp!$E$5+F58*Prislapp!$F$5+G58*Prislapp!$G$5+H58*Prislapp!$H$5+I58*Prislapp!$I$5+J58*Prislapp!$J$5+K58*Prislapp!$K$5+L58*Prislapp!$L$5+M58*Prislapp!$M$5+N58*Prislapp!$N$5</f>
        <v>22200</v>
      </c>
      <c r="R58" s="9">
        <f>VLOOKUP(A58,'Ansvar kurs'!$A$3:$B$219,2,FALSE)</f>
        <v>2193</v>
      </c>
      <c r="S58" s="162"/>
      <c r="T58" s="162"/>
      <c r="U58" s="162"/>
      <c r="V58" s="162"/>
      <c r="W58" s="162"/>
      <c r="X58" s="162"/>
      <c r="Y58" s="162"/>
      <c r="Z58" s="162"/>
    </row>
    <row r="59" spans="1:26" x14ac:dyDescent="0.25">
      <c r="A59" s="32" t="s">
        <v>742</v>
      </c>
      <c r="B59" s="32" t="s">
        <v>752</v>
      </c>
      <c r="H59" s="32">
        <v>1</v>
      </c>
      <c r="O59" s="41">
        <f>C59*Prislapp!$C$2+D59*Prislapp!$D$2+E59*Prislapp!$E$2+F59*Prislapp!$F$2+G59*Prislapp!$G$2+H59*Prislapp!$H$2+I59*Prislapp!$I$2+J59*Prislapp!$J$2+K59*Prislapp!$K$2+L59*Prislapp!$L$2+M59*Prislapp!$M$2+N59*Prislapp!$N$2</f>
        <v>19863</v>
      </c>
      <c r="P59" s="41">
        <f>C59*Prislapp!$C$3+D59*Prislapp!$D$3+E59*Prislapp!$E$3+F59*Prislapp!$F$3+G59*Prislapp!$G$3+H59*Prislapp!$H$3+I59*Prislapp!$I$3+J59*Prislapp!$J$3+K59*Prislapp!$K$3+M59*Prislapp!$M$3+N59*Prislapp!$N$3</f>
        <v>35472</v>
      </c>
      <c r="Q59" s="41">
        <f>C59*Prislapp!$C$5+D59*Prislapp!$D$5+E59*Prislapp!$E$5+F59*Prislapp!$F$5+G59*Prislapp!$G$5+H59*Prislapp!$H$5+I59*Prislapp!$I$5+J59*Prislapp!$J$5+K59*Prislapp!$K$5+L59*Prislapp!$L$5+M59*Prislapp!$M$5+N59*Prislapp!$N$5</f>
        <v>22200</v>
      </c>
      <c r="R59" s="9">
        <f>VLOOKUP(A59,'Ansvar kurs'!$A$3:$B$219,2,FALSE)</f>
        <v>2193</v>
      </c>
      <c r="S59" s="162"/>
      <c r="T59" s="162"/>
      <c r="U59" s="162"/>
      <c r="V59" s="162"/>
      <c r="W59" s="162"/>
      <c r="X59" s="162"/>
      <c r="Y59" s="162"/>
      <c r="Z59" s="162"/>
    </row>
    <row r="60" spans="1:26" x14ac:dyDescent="0.25">
      <c r="A60" s="59" t="s">
        <v>591</v>
      </c>
      <c r="B60" s="32" t="s">
        <v>594</v>
      </c>
      <c r="I60" s="32">
        <v>1</v>
      </c>
      <c r="O60" s="41">
        <f>C60*Prislapp!$C$2+D60*Prislapp!$D$2+E60*Prislapp!$E$2+F60*Prislapp!$F$2+G60*Prislapp!$G$2+H60*Prislapp!$H$2+I60*Prislapp!$I$2+J60*Prislapp!$J$2+K60*Prislapp!$K$2+L60*Prislapp!$L$2+M60*Prislapp!$M$2+N60*Prislapp!$N$2</f>
        <v>19097</v>
      </c>
      <c r="P60" s="41">
        <f>C60*Prislapp!$C$3+D60*Prislapp!$D$3+E60*Prislapp!$E$3+F60*Prislapp!$F$3+G60*Prislapp!$G$3+H60*Prislapp!$H$3+I60*Prislapp!$I$3+J60*Prislapp!$J$3+K60*Prislapp!$K$3+M60*Prislapp!$M$3+N60*Prislapp!$N$3</f>
        <v>16075</v>
      </c>
      <c r="Q60" s="41">
        <f>C60*Prislapp!$C$5+D60*Prislapp!$D$5+E60*Prislapp!$E$5+F60*Prislapp!$F$5+G60*Prislapp!$G$5+H60*Prislapp!$H$5+I60*Prislapp!$I$5+J60*Prislapp!$J$5+K60*Prislapp!$K$5+L60*Prislapp!$L$5+M60*Prislapp!$M$5+N60*Prislapp!$N$5</f>
        <v>5900</v>
      </c>
      <c r="R60" s="9">
        <f>VLOOKUP(A60,'Ansvar kurs'!$A$3:$B$219,2,FALSE)</f>
        <v>2193</v>
      </c>
      <c r="S60" s="162"/>
      <c r="T60" s="162"/>
      <c r="U60" s="162"/>
      <c r="V60" s="162"/>
      <c r="W60" s="162"/>
      <c r="X60" s="162"/>
      <c r="Y60" s="162"/>
      <c r="Z60" s="162"/>
    </row>
    <row r="61" spans="1:26" x14ac:dyDescent="0.25">
      <c r="A61" s="59" t="s">
        <v>703</v>
      </c>
      <c r="B61" s="32" t="s">
        <v>736</v>
      </c>
      <c r="I61" s="32">
        <v>1</v>
      </c>
      <c r="O61" s="41">
        <f>C61*Prislapp!$C$2+D61*Prislapp!$D$2+E61*Prislapp!$E$2+F61*Prislapp!$F$2+G61*Prislapp!$G$2+H61*Prislapp!$H$2+I61*Prislapp!$I$2+J61*Prislapp!$J$2+K61*Prislapp!$K$2+L61*Prislapp!$L$2+M61*Prislapp!$M$2+N61*Prislapp!$N$2</f>
        <v>19097</v>
      </c>
      <c r="P61" s="41">
        <f>C61*Prislapp!$C$3+D61*Prislapp!$D$3+E61*Prislapp!$E$3+F61*Prislapp!$F$3+G61*Prislapp!$G$3+H61*Prislapp!$H$3+I61*Prislapp!$I$3+J61*Prislapp!$J$3+K61*Prislapp!$K$3+M61*Prislapp!$M$3+N61*Prislapp!$N$3</f>
        <v>16075</v>
      </c>
      <c r="Q61" s="41">
        <f>C61*Prislapp!$C$5+D61*Prislapp!$D$5+E61*Prislapp!$E$5+F61*Prislapp!$F$5+G61*Prislapp!$G$5+H61*Prislapp!$H$5+I61*Prislapp!$I$5+J61*Prislapp!$J$5+K61*Prislapp!$K$5+L61*Prislapp!$L$5+M61*Prislapp!$M$5+N61*Prislapp!$N$5</f>
        <v>5900</v>
      </c>
      <c r="R61" s="9">
        <f>VLOOKUP(A61,'Ansvar kurs'!$A$3:$B$219,2,FALSE)</f>
        <v>2300</v>
      </c>
      <c r="S61" s="162"/>
      <c r="T61" s="162"/>
      <c r="U61" s="162"/>
      <c r="V61" s="162"/>
      <c r="W61" s="162"/>
      <c r="X61" s="162"/>
      <c r="Y61" s="162"/>
      <c r="Z61" s="162"/>
    </row>
    <row r="62" spans="1:26" x14ac:dyDescent="0.25">
      <c r="A62" s="32" t="s">
        <v>570</v>
      </c>
      <c r="B62" s="32" t="s">
        <v>582</v>
      </c>
      <c r="H62" s="32">
        <v>1</v>
      </c>
      <c r="O62" s="41">
        <f>C62*Prislapp!$C$2+D62*Prislapp!$D$2+E62*Prislapp!$E$2+F62*Prislapp!$F$2+G62*Prislapp!$G$2+H62*Prislapp!$H$2+I62*Prislapp!$I$2+J62*Prislapp!$J$2+K62*Prislapp!$K$2+L62*Prislapp!$L$2+M62*Prislapp!$M$2+N62*Prislapp!$N$2</f>
        <v>19863</v>
      </c>
      <c r="P62" s="41">
        <f>C62*Prislapp!$C$3+D62*Prislapp!$D$3+E62*Prislapp!$E$3+F62*Prislapp!$F$3+G62*Prislapp!$G$3+H62*Prislapp!$H$3+I62*Prislapp!$I$3+J62*Prislapp!$J$3+K62*Prislapp!$K$3+M62*Prislapp!$M$3+N62*Prislapp!$N$3</f>
        <v>35472</v>
      </c>
      <c r="Q62" s="41">
        <f>C62*Prislapp!$C$5+D62*Prislapp!$D$5+E62*Prislapp!$E$5+F62*Prislapp!$F$5+G62*Prislapp!$G$5+H62*Prislapp!$H$5+I62*Prislapp!$I$5+J62*Prislapp!$J$5+K62*Prislapp!$K$5+L62*Prislapp!$L$5+M62*Prislapp!$M$5+N62*Prislapp!$N$5</f>
        <v>22200</v>
      </c>
      <c r="R62" s="9">
        <f>VLOOKUP(A62,'Ansvar kurs'!$A$3:$B$219,2,FALSE)</f>
        <v>2650</v>
      </c>
      <c r="S62" s="162"/>
      <c r="T62" s="162"/>
      <c r="U62" s="162"/>
      <c r="V62" s="162"/>
      <c r="W62" s="162"/>
      <c r="X62" s="162"/>
      <c r="Y62" s="162"/>
      <c r="Z62" s="162"/>
    </row>
    <row r="63" spans="1:26" x14ac:dyDescent="0.25">
      <c r="A63" s="32" t="s">
        <v>861</v>
      </c>
      <c r="B63" s="32" t="s">
        <v>878</v>
      </c>
      <c r="I63" s="32">
        <v>1</v>
      </c>
      <c r="O63" s="41">
        <f>C63*Prislapp!$C$2+D63*Prislapp!$D$2+E63*Prislapp!$E$2+F63*Prislapp!$F$2+G63*Prislapp!$G$2+H63*Prislapp!$H$2+I63*Prislapp!$I$2+J63*Prislapp!$J$2+K63*Prislapp!$K$2+L63*Prislapp!$L$2+M63*Prislapp!$M$2+N63*Prislapp!$N$2</f>
        <v>19097</v>
      </c>
      <c r="P63" s="41">
        <f>C63*Prislapp!$C$3+D63*Prislapp!$D$3+E63*Prislapp!$E$3+F63*Prislapp!$F$3+G63*Prislapp!$G$3+H63*Prislapp!$H$3+I63*Prislapp!$I$3+J63*Prislapp!$J$3+K63*Prislapp!$K$3+M63*Prislapp!$M$3+N63*Prislapp!$N$3</f>
        <v>16075</v>
      </c>
      <c r="Q63" s="41">
        <f>C63*Prislapp!$C$5+D63*Prislapp!$D$5+E63*Prislapp!$E$5+F63*Prislapp!$F$5+G63*Prislapp!$G$5+H63*Prislapp!$H$5+I63*Prislapp!$I$5+J63*Prislapp!$J$5+K63*Prislapp!$K$5+L63*Prislapp!$L$5+M63*Prislapp!$M$5+N63*Prislapp!$N$5</f>
        <v>5900</v>
      </c>
      <c r="R63" s="9">
        <f>VLOOKUP(A63,'Ansvar kurs'!$A$3:$B$219,2,FALSE)</f>
        <v>2200</v>
      </c>
      <c r="S63" s="162"/>
      <c r="T63" s="162"/>
      <c r="U63" s="162"/>
      <c r="V63" s="162"/>
      <c r="W63" s="162"/>
      <c r="X63" s="162"/>
      <c r="Y63" s="162"/>
      <c r="Z63" s="162"/>
    </row>
    <row r="64" spans="1:26" x14ac:dyDescent="0.25">
      <c r="A64" s="32" t="s">
        <v>862</v>
      </c>
      <c r="B64" s="32" t="s">
        <v>879</v>
      </c>
      <c r="I64" s="32">
        <v>0.9</v>
      </c>
      <c r="N64" s="32">
        <v>0.1</v>
      </c>
      <c r="O64" s="41">
        <f>C64*Prislapp!$C$2+D64*Prislapp!$D$2+E64*Prislapp!$E$2+F64*Prislapp!$F$2+G64*Prislapp!$G$2+H64*Prislapp!$H$2+I64*Prislapp!$I$2+J64*Prislapp!$J$2+K64*Prislapp!$K$2+L64*Prislapp!$L$2+M64*Prislapp!$M$2+N64*Prislapp!$N$2</f>
        <v>21069.200000000001</v>
      </c>
      <c r="P64" s="41">
        <f>C64*Prislapp!$C$3+D64*Prislapp!$D$3+E64*Prislapp!$E$3+F64*Prislapp!$F$3+G64*Prislapp!$G$3+H64*Prislapp!$H$3+I64*Prislapp!$I$3+J64*Prislapp!$J$3+K64*Prislapp!$K$3+M64*Prislapp!$M$3+N64*Prislapp!$N$3</f>
        <v>18340.7</v>
      </c>
      <c r="Q64" s="41">
        <f>C64*Prislapp!$C$5+D64*Prislapp!$D$5+E64*Prislapp!$E$5+F64*Prislapp!$F$5+G64*Prislapp!$G$5+H64*Prislapp!$H$5+I64*Prislapp!$I$5+J64*Prislapp!$J$5+K64*Prislapp!$K$5+L64*Prislapp!$L$5+M64*Prislapp!$M$5+N64*Prislapp!$N$5</f>
        <v>5900</v>
      </c>
      <c r="R64" s="9">
        <f>VLOOKUP(A64,'Ansvar kurs'!$A$3:$B$219,2,FALSE)</f>
        <v>2200</v>
      </c>
      <c r="S64" s="162"/>
      <c r="T64" s="162"/>
      <c r="U64" s="162"/>
      <c r="V64" s="162"/>
      <c r="W64" s="162"/>
      <c r="X64" s="162"/>
      <c r="Y64" s="162"/>
      <c r="Z64" s="162"/>
    </row>
    <row r="65" spans="1:26" x14ac:dyDescent="0.25">
      <c r="A65" s="32" t="s">
        <v>863</v>
      </c>
      <c r="B65" s="32" t="s">
        <v>880</v>
      </c>
      <c r="I65" s="32">
        <v>0.9</v>
      </c>
      <c r="N65" s="32">
        <v>0.1</v>
      </c>
      <c r="O65" s="41">
        <f>C65*Prislapp!$C$2+D65*Prislapp!$D$2+E65*Prislapp!$E$2+F65*Prislapp!$F$2+G65*Prislapp!$G$2+H65*Prislapp!$H$2+I65*Prislapp!$I$2+J65*Prislapp!$J$2+K65*Prislapp!$K$2+L65*Prislapp!$L$2+M65*Prislapp!$M$2+N65*Prislapp!$N$2</f>
        <v>21069.200000000001</v>
      </c>
      <c r="P65" s="41">
        <f>C65*Prislapp!$C$3+D65*Prislapp!$D$3+E65*Prislapp!$E$3+F65*Prislapp!$F$3+G65*Prislapp!$G$3+H65*Prislapp!$H$3+I65*Prislapp!$I$3+J65*Prislapp!$J$3+K65*Prislapp!$K$3+M65*Prislapp!$M$3+N65*Prislapp!$N$3</f>
        <v>18340.7</v>
      </c>
      <c r="Q65" s="41">
        <f>C65*Prislapp!$C$5+D65*Prislapp!$D$5+E65*Prislapp!$E$5+F65*Prislapp!$F$5+G65*Prislapp!$G$5+H65*Prislapp!$H$5+I65*Prislapp!$I$5+J65*Prislapp!$J$5+K65*Prislapp!$K$5+L65*Prislapp!$L$5+M65*Prislapp!$M$5+N65*Prislapp!$N$5</f>
        <v>5900</v>
      </c>
      <c r="R65" s="9">
        <f>VLOOKUP(A65,'Ansvar kurs'!$A$3:$B$219,2,FALSE)</f>
        <v>2200</v>
      </c>
      <c r="S65" s="162"/>
      <c r="T65" s="162"/>
      <c r="U65" s="162"/>
      <c r="V65" s="162"/>
      <c r="W65" s="162"/>
      <c r="X65" s="162"/>
      <c r="Y65" s="162"/>
      <c r="Z65" s="162"/>
    </row>
    <row r="66" spans="1:26" x14ac:dyDescent="0.25">
      <c r="A66" s="32" t="s">
        <v>864</v>
      </c>
      <c r="B66" s="32" t="s">
        <v>881</v>
      </c>
      <c r="I66" s="32">
        <v>0.9</v>
      </c>
      <c r="N66" s="32">
        <v>0.1</v>
      </c>
      <c r="O66" s="41">
        <f>C66*Prislapp!$C$2+D66*Prislapp!$D$2+E66*Prislapp!$E$2+F66*Prislapp!$F$2+G66*Prislapp!$G$2+H66*Prislapp!$H$2+I66*Prislapp!$I$2+J66*Prislapp!$J$2+K66*Prislapp!$K$2+L66*Prislapp!$L$2+M66*Prislapp!$M$2+N66*Prislapp!$N$2</f>
        <v>21069.200000000001</v>
      </c>
      <c r="P66" s="41">
        <f>C66*Prislapp!$C$3+D66*Prislapp!$D$3+E66*Prislapp!$E$3+F66*Prislapp!$F$3+G66*Prislapp!$G$3+H66*Prislapp!$H$3+I66*Prislapp!$I$3+J66*Prislapp!$J$3+K66*Prislapp!$K$3+M66*Prislapp!$M$3+N66*Prislapp!$N$3</f>
        <v>18340.7</v>
      </c>
      <c r="Q66" s="41">
        <f>C66*Prislapp!$C$5+D66*Prislapp!$D$5+E66*Prislapp!$E$5+F66*Prislapp!$F$5+G66*Prislapp!$G$5+H66*Prislapp!$H$5+I66*Prislapp!$I$5+J66*Prislapp!$J$5+K66*Prislapp!$K$5+L66*Prislapp!$L$5+M66*Prislapp!$M$5+N66*Prislapp!$N$5</f>
        <v>5900</v>
      </c>
      <c r="R66" s="9">
        <f>VLOOKUP(A66,'Ansvar kurs'!$A$3:$B$219,2,FALSE)</f>
        <v>2200</v>
      </c>
      <c r="S66" s="162"/>
      <c r="T66" s="162"/>
      <c r="U66" s="162"/>
      <c r="V66" s="162"/>
      <c r="W66" s="162"/>
      <c r="X66" s="162"/>
      <c r="Y66" s="162"/>
      <c r="Z66" s="162"/>
    </row>
    <row r="67" spans="1:26" x14ac:dyDescent="0.25">
      <c r="A67" s="59" t="s">
        <v>764</v>
      </c>
      <c r="B67" s="59" t="s">
        <v>767</v>
      </c>
      <c r="F67" s="32">
        <v>1</v>
      </c>
      <c r="O67" s="41">
        <f>C67*Prislapp!$C$2+D67*Prislapp!$D$2+E67*Prislapp!$E$2+F67*Prislapp!$F$2+G67*Prislapp!$G$2+H67*Prislapp!$H$2+I67*Prislapp!$I$2+J67*Prislapp!$J$2+K67*Prislapp!$K$2+L67*Prislapp!$L$2+M67*Prislapp!$M$2+N67*Prislapp!$N$2</f>
        <v>24104</v>
      </c>
      <c r="P67" s="41">
        <f>C67*Prislapp!$C$3+D67*Prislapp!$D$3+E67*Prislapp!$E$3+F67*Prislapp!$F$3+G67*Prislapp!$G$3+H67*Prislapp!$H$3+I67*Prislapp!$I$3+J67*Prislapp!$J$3+K67*Prislapp!$K$3+M67*Prislapp!$M$3+N67*Prislapp!$N$3</f>
        <v>31432</v>
      </c>
      <c r="Q67" s="41">
        <f>C67*Prislapp!$C$5+D67*Prislapp!$D$5+E67*Prislapp!$E$5+F67*Prislapp!$F$5+G67*Prislapp!$G$5+H67*Prislapp!$H$5+I67*Prislapp!$I$5+J67*Prislapp!$J$5+K67*Prislapp!$K$5+L67*Prislapp!$L$5+M67*Prislapp!$M$5+N67*Prislapp!$N$5</f>
        <v>5900</v>
      </c>
      <c r="R67" s="9">
        <f>VLOOKUP(A67,'Ansvar kurs'!$A$3:$B$219,2,FALSE)</f>
        <v>2193</v>
      </c>
      <c r="S67" s="162"/>
      <c r="T67" s="162"/>
      <c r="U67" s="162"/>
      <c r="V67" s="162"/>
      <c r="W67" s="162"/>
      <c r="X67" s="162"/>
      <c r="Y67" s="162"/>
      <c r="Z67" s="162"/>
    </row>
    <row r="68" spans="1:26" x14ac:dyDescent="0.25">
      <c r="A68" s="32" t="s">
        <v>554</v>
      </c>
      <c r="B68" s="32" t="s">
        <v>561</v>
      </c>
      <c r="I68" s="32">
        <v>1</v>
      </c>
      <c r="O68" s="41">
        <f>C68*Prislapp!$C$2+D68*Prislapp!$D$2+E68*Prislapp!$E$2+F68*Prislapp!$F$2+G68*Prislapp!$G$2+H68*Prislapp!$H$2+I68*Prislapp!$I$2+J68*Prislapp!$J$2+K68*Prislapp!$K$2+L68*Prislapp!$L$2+M68*Prislapp!$M$2+N68*Prislapp!$N$2</f>
        <v>19097</v>
      </c>
      <c r="P68" s="41">
        <f>C68*Prislapp!$C$3+D68*Prislapp!$D$3+E68*Prislapp!$E$3+F68*Prislapp!$F$3+G68*Prislapp!$G$3+H68*Prislapp!$H$3+I68*Prislapp!$I$3+J68*Prislapp!$J$3+K68*Prislapp!$K$3+M68*Prislapp!$M$3+N68*Prislapp!$N$3</f>
        <v>16075</v>
      </c>
      <c r="Q68" s="41">
        <f>C68*Prislapp!$C$5+D68*Prislapp!$D$5+E68*Prislapp!$E$5+F68*Prislapp!$F$5+G68*Prislapp!$G$5+H68*Prislapp!$H$5+I68*Prislapp!$I$5+J68*Prislapp!$J$5+K68*Prislapp!$K$5+L68*Prislapp!$L$5+M68*Prislapp!$M$5+N68*Prislapp!$N$5</f>
        <v>5900</v>
      </c>
      <c r="R68" s="9">
        <f>VLOOKUP(A68,'Ansvar kurs'!$A$3:$B$219,2,FALSE)</f>
        <v>2340</v>
      </c>
      <c r="S68" s="162"/>
      <c r="T68" s="162"/>
      <c r="U68" s="162"/>
      <c r="V68" s="162"/>
      <c r="W68" s="162"/>
      <c r="X68" s="162"/>
      <c r="Y68" s="162"/>
      <c r="Z68" s="162"/>
    </row>
    <row r="69" spans="1:26" x14ac:dyDescent="0.25">
      <c r="A69" s="32" t="s">
        <v>663</v>
      </c>
      <c r="B69" s="32" t="s">
        <v>664</v>
      </c>
      <c r="H69" s="32">
        <v>1</v>
      </c>
      <c r="O69" s="41">
        <f>C69*Prislapp!$C$2+D69*Prislapp!$D$2+E69*Prislapp!$E$2+F69*Prislapp!$F$2+G69*Prislapp!$G$2+H69*Prislapp!$H$2+I69*Prislapp!$I$2+J69*Prislapp!$J$2+K69*Prislapp!$K$2+L69*Prislapp!$L$2+M69*Prislapp!$M$2+N69*Prislapp!$N$2</f>
        <v>19863</v>
      </c>
      <c r="P69" s="41">
        <f>C69*Prislapp!$C$3+D69*Prislapp!$D$3+E69*Prislapp!$E$3+F69*Prislapp!$F$3+G69*Prislapp!$G$3+H69*Prislapp!$H$3+I69*Prislapp!$I$3+J69*Prislapp!$J$3+K69*Prislapp!$K$3+M69*Prislapp!$M$3+N69*Prislapp!$N$3</f>
        <v>35472</v>
      </c>
      <c r="Q69" s="41">
        <f>C69*Prislapp!$C$5+D69*Prislapp!$D$5+E69*Prislapp!$E$5+F69*Prislapp!$F$5+G69*Prislapp!$G$5+H69*Prislapp!$H$5+I69*Prislapp!$I$5+J69*Prislapp!$J$5+K69*Prislapp!$K$5+L69*Prislapp!$L$5+M69*Prislapp!$M$5+N69*Prislapp!$N$5</f>
        <v>22200</v>
      </c>
      <c r="R69" s="9">
        <f>VLOOKUP(A69,'Ansvar kurs'!$A$3:$B$219,2,FALSE)</f>
        <v>5100</v>
      </c>
      <c r="S69" s="162"/>
      <c r="T69" s="162"/>
      <c r="U69" s="162"/>
      <c r="V69" s="162"/>
      <c r="W69" s="162"/>
      <c r="X69" s="162"/>
      <c r="Y69" s="162"/>
      <c r="Z69" s="162"/>
    </row>
    <row r="70" spans="1:26" x14ac:dyDescent="0.25">
      <c r="A70" s="32" t="s">
        <v>675</v>
      </c>
      <c r="B70" s="32" t="s">
        <v>685</v>
      </c>
      <c r="H70" s="32">
        <v>1</v>
      </c>
      <c r="O70" s="41">
        <f>C70*Prislapp!$C$2+D70*Prislapp!$D$2+E70*Prislapp!$E$2+F70*Prislapp!$F$2+G70*Prislapp!$G$2+H70*Prislapp!$H$2+I70*Prislapp!$I$2+J70*Prislapp!$J$2+K70*Prislapp!$K$2+L70*Prislapp!$L$2+M70*Prislapp!$M$2+N70*Prislapp!$N$2</f>
        <v>19863</v>
      </c>
      <c r="P70" s="41">
        <f>C70*Prislapp!$C$3+D70*Prislapp!$D$3+E70*Prislapp!$E$3+F70*Prislapp!$F$3+G70*Prislapp!$G$3+H70*Prislapp!$H$3+I70*Prislapp!$I$3+J70*Prislapp!$J$3+K70*Prislapp!$K$3+M70*Prislapp!$M$3+N70*Prislapp!$N$3</f>
        <v>35472</v>
      </c>
      <c r="Q70" s="41">
        <f>C70*Prislapp!$C$5+D70*Prislapp!$D$5+E70*Prislapp!$E$5+F70*Prislapp!$F$5+G70*Prislapp!$G$5+H70*Prislapp!$H$5+I70*Prislapp!$I$5+J70*Prislapp!$J$5+K70*Prislapp!$K$5+L70*Prislapp!$L$5+M70*Prislapp!$M$5+N70*Prislapp!$N$5</f>
        <v>22200</v>
      </c>
      <c r="R70" s="9">
        <f>VLOOKUP(A70,'Ansvar kurs'!$A$3:$B$219,2,FALSE)</f>
        <v>5100</v>
      </c>
      <c r="S70" s="162"/>
      <c r="T70" s="162"/>
      <c r="U70" s="162"/>
      <c r="V70" s="162"/>
      <c r="W70" s="162"/>
      <c r="X70" s="162"/>
      <c r="Y70" s="162"/>
      <c r="Z70" s="162"/>
    </row>
    <row r="71" spans="1:26" x14ac:dyDescent="0.25">
      <c r="A71" s="59" t="s">
        <v>704</v>
      </c>
      <c r="B71" s="32" t="s">
        <v>737</v>
      </c>
      <c r="J71" s="32">
        <v>1</v>
      </c>
      <c r="O71" s="41">
        <f>C71*Prislapp!$C$2+D71*Prislapp!$D$2+E71*Prislapp!$E$2+F71*Prislapp!$F$2+G71*Prislapp!$G$2+H71*Prislapp!$H$2+I71*Prislapp!$I$2+J71*Prislapp!$J$2+K71*Prislapp!$K$2+L71*Prislapp!$L$2+M71*Prislapp!$M$2+N71*Prislapp!$N$2</f>
        <v>19863</v>
      </c>
      <c r="P71" s="41">
        <f>C71*Prislapp!$C$3+D71*Prislapp!$D$3+E71*Prislapp!$E$3+F71*Prislapp!$F$3+G71*Prislapp!$G$3+H71*Prislapp!$H$3+I71*Prislapp!$I$3+J71*Prislapp!$J$3+K71*Prislapp!$K$3+M71*Prislapp!$M$3+N71*Prislapp!$N$3</f>
        <v>35472</v>
      </c>
      <c r="Q71" s="41">
        <f>C71*Prislapp!$C$5+D71*Prislapp!$D$5+E71*Prislapp!$E$5+F71*Prislapp!$F$5+G71*Prislapp!$G$5+H71*Prislapp!$H$5+I71*Prislapp!$I$5+J71*Prislapp!$J$5+K71*Prislapp!$K$5+L71*Prislapp!$L$5+M71*Prislapp!$M$5+N71*Prislapp!$N$5</f>
        <v>22200</v>
      </c>
      <c r="R71" s="9">
        <f>VLOOKUP(A71,'Ansvar kurs'!$A$3:$B$219,2,FALSE)</f>
        <v>5410</v>
      </c>
      <c r="S71" s="162"/>
      <c r="T71" s="162"/>
      <c r="U71" s="162"/>
      <c r="V71" s="162"/>
      <c r="W71" s="162"/>
      <c r="X71" s="162"/>
      <c r="Y71" s="162"/>
      <c r="Z71" s="162"/>
    </row>
    <row r="72" spans="1:26" x14ac:dyDescent="0.25">
      <c r="A72" s="32" t="s">
        <v>705</v>
      </c>
      <c r="B72" s="32" t="s">
        <v>718</v>
      </c>
      <c r="J72" s="32">
        <v>1</v>
      </c>
      <c r="O72" s="41">
        <f>C72*Prislapp!$C$2+D72*Prislapp!$D$2+E72*Prislapp!$E$2+F72*Prislapp!$F$2+G72*Prislapp!$G$2+H72*Prislapp!$H$2+I72*Prislapp!$I$2+J72*Prislapp!$J$2+K72*Prislapp!$K$2+L72*Prislapp!$L$2+M72*Prislapp!$M$2+N72*Prislapp!$N$2</f>
        <v>19863</v>
      </c>
      <c r="P72" s="41">
        <f>C72*Prislapp!$C$3+D72*Prislapp!$D$3+E72*Prislapp!$E$3+F72*Prislapp!$F$3+G72*Prislapp!$G$3+H72*Prislapp!$H$3+I72*Prislapp!$I$3+J72*Prislapp!$J$3+K72*Prislapp!$K$3+M72*Prislapp!$M$3+N72*Prislapp!$N$3</f>
        <v>35472</v>
      </c>
      <c r="Q72" s="41">
        <f>C72*Prislapp!$C$5+D72*Prislapp!$D$5+E72*Prislapp!$E$5+F72*Prislapp!$F$5+G72*Prislapp!$G$5+H72*Prislapp!$H$5+I72*Prislapp!$I$5+J72*Prislapp!$J$5+K72*Prislapp!$K$5+L72*Prislapp!$L$5+M72*Prislapp!$M$5+N72*Prislapp!$N$5</f>
        <v>22200</v>
      </c>
      <c r="R72" s="9">
        <f>VLOOKUP(A72,'Ansvar kurs'!$A$3:$B$219,2,FALSE)</f>
        <v>5500</v>
      </c>
      <c r="S72" s="162"/>
      <c r="T72" s="162"/>
      <c r="U72" s="162"/>
      <c r="V72" s="162"/>
      <c r="W72" s="162"/>
      <c r="X72" s="162"/>
      <c r="Y72" s="162"/>
      <c r="Z72" s="162"/>
    </row>
    <row r="73" spans="1:26" x14ac:dyDescent="0.25">
      <c r="A73" s="32" t="s">
        <v>605</v>
      </c>
      <c r="B73" s="32" t="s">
        <v>630</v>
      </c>
      <c r="J73" s="32">
        <v>1</v>
      </c>
      <c r="O73" s="41">
        <f>C73*Prislapp!$C$2+D73*Prislapp!$D$2+E73*Prislapp!$E$2+F73*Prislapp!$F$2+G73*Prislapp!$G$2+H73*Prislapp!$H$2+I73*Prislapp!$I$2+J73*Prislapp!$J$2+K73*Prislapp!$K$2+L73*Prislapp!$L$2+M73*Prislapp!$M$2+N73*Prislapp!$N$2</f>
        <v>19863</v>
      </c>
      <c r="P73" s="41">
        <f>C73*Prislapp!$C$3+D73*Prislapp!$D$3+E73*Prislapp!$E$3+F73*Prislapp!$F$3+G73*Prislapp!$G$3+H73*Prislapp!$H$3+I73*Prislapp!$I$3+J73*Prislapp!$J$3+K73*Prislapp!$K$3+M73*Prislapp!$M$3+N73*Prislapp!$N$3</f>
        <v>35472</v>
      </c>
      <c r="Q73" s="41">
        <f>C73*Prislapp!$C$5+D73*Prislapp!$D$5+E73*Prislapp!$E$5+F73*Prislapp!$F$5+G73*Prislapp!$G$5+H73*Prislapp!$H$5+I73*Prislapp!$I$5+J73*Prislapp!$J$5+K73*Prislapp!$K$5+L73*Prislapp!$L$5+M73*Prislapp!$M$5+N73*Prislapp!$N$5</f>
        <v>22200</v>
      </c>
      <c r="R73" s="9">
        <f>VLOOKUP(A73,'Ansvar kurs'!$A$3:$B$219,2,FALSE)</f>
        <v>5500</v>
      </c>
      <c r="S73" s="162"/>
      <c r="T73" s="162"/>
      <c r="U73" s="162"/>
      <c r="V73" s="162"/>
      <c r="W73" s="162"/>
      <c r="X73" s="162"/>
      <c r="Y73" s="162"/>
      <c r="Z73" s="162"/>
    </row>
    <row r="74" spans="1:26" x14ac:dyDescent="0.25">
      <c r="A74" s="32" t="s">
        <v>606</v>
      </c>
      <c r="B74" s="32" t="s">
        <v>631</v>
      </c>
      <c r="J74" s="32">
        <v>1</v>
      </c>
      <c r="O74" s="41">
        <f>C74*Prislapp!$C$2+D74*Prislapp!$D$2+E74*Prislapp!$E$2+F74*Prislapp!$F$2+G74*Prislapp!$G$2+H74*Prislapp!$H$2+I74*Prislapp!$I$2+J74*Prislapp!$J$2+K74*Prislapp!$K$2+L74*Prislapp!$L$2+M74*Prislapp!$M$2+N74*Prislapp!$N$2</f>
        <v>19863</v>
      </c>
      <c r="P74" s="41">
        <f>C74*Prislapp!$C$3+D74*Prislapp!$D$3+E74*Prislapp!$E$3+F74*Prislapp!$F$3+G74*Prislapp!$G$3+H74*Prislapp!$H$3+I74*Prislapp!$I$3+J74*Prislapp!$J$3+K74*Prislapp!$K$3+M74*Prislapp!$M$3+N74*Prislapp!$N$3</f>
        <v>35472</v>
      </c>
      <c r="Q74" s="41">
        <f>C74*Prislapp!$C$5+D74*Prislapp!$D$5+E74*Prislapp!$E$5+F74*Prislapp!$F$5+G74*Prislapp!$G$5+H74*Prislapp!$H$5+I74*Prislapp!$I$5+J74*Prislapp!$J$5+K74*Prislapp!$K$5+L74*Prislapp!$L$5+M74*Prislapp!$M$5+N74*Prislapp!$N$5</f>
        <v>22200</v>
      </c>
      <c r="R74" s="9">
        <f>VLOOKUP(A74,'Ansvar kurs'!$A$3:$B$219,2,FALSE)</f>
        <v>5500</v>
      </c>
      <c r="S74" s="162"/>
      <c r="T74" s="162"/>
      <c r="U74" s="162"/>
      <c r="V74" s="162"/>
      <c r="W74" s="162"/>
      <c r="X74" s="162"/>
      <c r="Y74" s="162"/>
      <c r="Z74" s="162"/>
    </row>
    <row r="75" spans="1:26" x14ac:dyDescent="0.25">
      <c r="A75" s="59" t="s">
        <v>706</v>
      </c>
      <c r="B75" s="59" t="s">
        <v>719</v>
      </c>
      <c r="H75" s="32">
        <v>1</v>
      </c>
      <c r="O75" s="41">
        <f>C75*Prislapp!$C$2+D75*Prislapp!$D$2+E75*Prislapp!$E$2+F75*Prislapp!$F$2+G75*Prislapp!$G$2+H75*Prislapp!$H$2+I75*Prislapp!$I$2+J75*Prislapp!$J$2+K75*Prislapp!$K$2+L75*Prislapp!$L$2+M75*Prislapp!$M$2+N75*Prislapp!$N$2</f>
        <v>19863</v>
      </c>
      <c r="P75" s="41">
        <f>C75*Prislapp!$C$3+D75*Prislapp!$D$3+E75*Prislapp!$E$3+F75*Prislapp!$F$3+G75*Prislapp!$G$3+H75*Prislapp!$H$3+I75*Prislapp!$I$3+J75*Prislapp!$J$3+K75*Prislapp!$K$3+M75*Prislapp!$M$3+N75*Prislapp!$N$3</f>
        <v>35472</v>
      </c>
      <c r="Q75" s="41">
        <f>C75*Prislapp!$C$5+D75*Prislapp!$D$5+E75*Prislapp!$E$5+F75*Prislapp!$F$5+G75*Prislapp!$G$5+H75*Prislapp!$H$5+I75*Prislapp!$I$5+J75*Prislapp!$J$5+K75*Prislapp!$K$5+L75*Prislapp!$L$5+M75*Prislapp!$M$5+N75*Prislapp!$N$5</f>
        <v>22200</v>
      </c>
      <c r="R75" s="9">
        <f>VLOOKUP(A75,'Ansvar kurs'!$A$3:$B$219,2,FALSE)</f>
        <v>5500</v>
      </c>
      <c r="S75" s="162"/>
      <c r="T75" s="162"/>
      <c r="U75" s="162"/>
      <c r="V75" s="162"/>
      <c r="W75" s="162"/>
      <c r="X75" s="162"/>
      <c r="Y75" s="162"/>
      <c r="Z75" s="162"/>
    </row>
    <row r="76" spans="1:26" x14ac:dyDescent="0.25">
      <c r="A76" s="59" t="s">
        <v>707</v>
      </c>
      <c r="B76" s="32" t="s">
        <v>720</v>
      </c>
      <c r="H76" s="32">
        <v>0.5</v>
      </c>
      <c r="J76" s="32">
        <v>0.5</v>
      </c>
      <c r="O76" s="41">
        <f>C76*Prislapp!$C$2+D76*Prislapp!$D$2+E76*Prislapp!$E$2+F76*Prislapp!$F$2+G76*Prislapp!$G$2+H76*Prislapp!$H$2+I76*Prislapp!$I$2+J76*Prislapp!$J$2+K76*Prislapp!$K$2+L76*Prislapp!$L$2+M76*Prislapp!$M$2+N76*Prislapp!$N$2</f>
        <v>19863</v>
      </c>
      <c r="P76" s="41">
        <f>C76*Prislapp!$C$3+D76*Prislapp!$D$3+E76*Prislapp!$E$3+F76*Prislapp!$F$3+G76*Prislapp!$G$3+H76*Prislapp!$H$3+I76*Prislapp!$I$3+J76*Prislapp!$J$3+K76*Prislapp!$K$3+M76*Prislapp!$M$3+N76*Prislapp!$N$3</f>
        <v>35472</v>
      </c>
      <c r="Q76" s="41">
        <f>C76*Prislapp!$C$5+D76*Prislapp!$D$5+E76*Prislapp!$E$5+F76*Prislapp!$F$5+G76*Prislapp!$G$5+H76*Prislapp!$H$5+I76*Prislapp!$I$5+J76*Prislapp!$J$5+K76*Prislapp!$K$5+L76*Prislapp!$L$5+M76*Prislapp!$M$5+N76*Prislapp!$N$5</f>
        <v>22200</v>
      </c>
      <c r="R76" s="9">
        <f>VLOOKUP(A76,'Ansvar kurs'!$A$3:$B$219,2,FALSE)</f>
        <v>5500</v>
      </c>
      <c r="S76" s="162"/>
      <c r="T76" s="162"/>
      <c r="U76" s="162"/>
      <c r="V76" s="162"/>
      <c r="W76" s="162"/>
      <c r="X76" s="162"/>
      <c r="Y76" s="162"/>
      <c r="Z76" s="162"/>
    </row>
    <row r="77" spans="1:26" x14ac:dyDescent="0.25">
      <c r="A77" s="59" t="s">
        <v>775</v>
      </c>
      <c r="B77" s="32" t="s">
        <v>587</v>
      </c>
      <c r="H77" s="32">
        <v>1</v>
      </c>
      <c r="O77" s="41">
        <f>C77*Prislapp!$C$2+D77*Prislapp!$D$2+E77*Prislapp!$E$2+F77*Prislapp!$F$2+G77*Prislapp!$G$2+H77*Prislapp!$H$2+I77*Prislapp!$I$2+J77*Prislapp!$J$2+K77*Prislapp!$K$2+L77*Prislapp!$L$2+M77*Prislapp!$M$2+N77*Prislapp!$N$2</f>
        <v>19863</v>
      </c>
      <c r="P77" s="41">
        <f>C77*Prislapp!$C$3+D77*Prislapp!$D$3+E77*Prislapp!$E$3+F77*Prislapp!$F$3+G77*Prislapp!$G$3+H77*Prislapp!$H$3+I77*Prislapp!$I$3+J77*Prislapp!$J$3+K77*Prislapp!$K$3+M77*Prislapp!$M$3+N77*Prislapp!$N$3</f>
        <v>35472</v>
      </c>
      <c r="Q77" s="41">
        <f>C77*Prislapp!$C$5+D77*Prislapp!$D$5+E77*Prislapp!$E$5+F77*Prislapp!$F$5+G77*Prislapp!$G$5+H77*Prislapp!$H$5+I77*Prislapp!$I$5+J77*Prislapp!$J$5+K77*Prislapp!$K$5+L77*Prislapp!$L$5+M77*Prislapp!$M$5+N77*Prislapp!$N$5</f>
        <v>22200</v>
      </c>
      <c r="R77" s="9">
        <f>VLOOKUP(A77,'Ansvar kurs'!$A$3:$B$219,2,FALSE)</f>
        <v>5740</v>
      </c>
      <c r="S77" s="162"/>
      <c r="T77" s="162"/>
      <c r="U77" s="162"/>
      <c r="V77" s="162"/>
      <c r="W77" s="162"/>
      <c r="X77" s="162"/>
      <c r="Y77" s="162"/>
      <c r="Z77" s="162"/>
    </row>
    <row r="78" spans="1:26" x14ac:dyDescent="0.25">
      <c r="A78" s="239" t="s">
        <v>544</v>
      </c>
      <c r="B78" s="32" t="s">
        <v>501</v>
      </c>
      <c r="H78" s="32">
        <v>1</v>
      </c>
      <c r="O78" s="41">
        <f>C78*Prislapp!$C$2+D78*Prislapp!$D$2+E78*Prislapp!$E$2+F78*Prislapp!$F$2+G78*Prislapp!$G$2+H78*Prislapp!$H$2+I78*Prislapp!$I$2+J78*Prislapp!$J$2+K78*Prislapp!$K$2+L78*Prislapp!$L$2+M78*Prislapp!$M$2+N78*Prislapp!$N$2</f>
        <v>19863</v>
      </c>
      <c r="P78" s="41">
        <f>C78*Prislapp!$C$3+D78*Prislapp!$D$3+E78*Prislapp!$E$3+F78*Prislapp!$F$3+G78*Prislapp!$G$3+H78*Prislapp!$H$3+I78*Prislapp!$I$3+J78*Prislapp!$J$3+K78*Prislapp!$K$3+M78*Prislapp!$M$3+N78*Prislapp!$N$3</f>
        <v>35472</v>
      </c>
      <c r="Q78" s="41">
        <f>C78*Prislapp!$C$5+D78*Prislapp!$D$5+E78*Prislapp!$E$5+F78*Prislapp!$F$5+G78*Prislapp!$G$5+H78*Prislapp!$H$5+I78*Prislapp!$I$5+J78*Prislapp!$J$5+K78*Prislapp!$K$5+L78*Prislapp!$L$5+M78*Prislapp!$M$5+N78*Prislapp!$N$5</f>
        <v>22200</v>
      </c>
      <c r="R78" s="9">
        <v>5740</v>
      </c>
      <c r="S78" s="162"/>
    </row>
    <row r="79" spans="1:26" x14ac:dyDescent="0.25">
      <c r="A79" s="59" t="s">
        <v>524</v>
      </c>
      <c r="B79" s="59" t="s">
        <v>528</v>
      </c>
      <c r="F79" s="32">
        <v>1</v>
      </c>
      <c r="O79" s="41">
        <f>C79*Prislapp!$C$2+D79*Prislapp!$D$2+E79*Prislapp!$E$2+F79*Prislapp!$F$2+G79*Prislapp!$G$2+H79*Prislapp!$H$2+I79*Prislapp!$I$2+J79*Prislapp!$J$2+K79*Prislapp!$K$2+L79*Prislapp!$L$2+M79*Prislapp!$M$2+N79*Prislapp!$N$2</f>
        <v>24104</v>
      </c>
      <c r="P79" s="41">
        <f>C79*Prislapp!$C$3+D79*Prislapp!$D$3+E79*Prislapp!$E$3+F79*Prislapp!$F$3+G79*Prislapp!$G$3+H79*Prislapp!$H$3+I79*Prislapp!$I$3+J79*Prislapp!$J$3+K79*Prislapp!$K$3+M79*Prislapp!$M$3+N79*Prislapp!$N$3</f>
        <v>31432</v>
      </c>
      <c r="Q79" s="41">
        <f>C79*Prislapp!$C$5+D79*Prislapp!$D$5+E79*Prislapp!$E$5+F79*Prislapp!$F$5+G79*Prislapp!$G$5+H79*Prislapp!$H$5+I79*Prislapp!$I$5+J79*Prislapp!$J$5+K79*Prislapp!$K$5+L79*Prislapp!$L$5+M79*Prislapp!$M$5+N79*Prislapp!$N$5</f>
        <v>5900</v>
      </c>
      <c r="R79" s="9">
        <f>VLOOKUP(A79,'Ansvar kurs'!$A$3:$B$219,2,FALSE)</f>
        <v>5740</v>
      </c>
      <c r="S79" s="162"/>
      <c r="T79" s="162"/>
      <c r="U79" s="162"/>
      <c r="V79" s="162"/>
      <c r="W79" s="162"/>
      <c r="X79" s="162"/>
      <c r="Y79" s="162"/>
      <c r="Z79" s="162"/>
    </row>
    <row r="80" spans="1:26" x14ac:dyDescent="0.25">
      <c r="A80" s="59" t="s">
        <v>525</v>
      </c>
      <c r="B80" s="59" t="s">
        <v>529</v>
      </c>
      <c r="F80" s="32">
        <v>1</v>
      </c>
      <c r="O80" s="41">
        <f>C80*Prislapp!$C$2+D80*Prislapp!$D$2+E80*Prislapp!$E$2+F80*Prislapp!$F$2+G80*Prislapp!$G$2+H80*Prislapp!$H$2+I80*Prislapp!$I$2+J80*Prislapp!$J$2+K80*Prislapp!$K$2+L80*Prislapp!$L$2+M80*Prislapp!$M$2+N80*Prislapp!$N$2</f>
        <v>24104</v>
      </c>
      <c r="P80" s="41">
        <f>C80*Prislapp!$C$3+D80*Prislapp!$D$3+E80*Prislapp!$E$3+F80*Prislapp!$F$3+G80*Prislapp!$G$3+H80*Prislapp!$H$3+I80*Prislapp!$I$3+J80*Prislapp!$J$3+K80*Prislapp!$K$3+M80*Prislapp!$M$3+N80*Prislapp!$N$3</f>
        <v>31432</v>
      </c>
      <c r="Q80" s="41">
        <f>C80*Prislapp!$C$5+D80*Prislapp!$D$5+E80*Prislapp!$E$5+F80*Prislapp!$F$5+G80*Prislapp!$G$5+H80*Prislapp!$H$5+I80*Prislapp!$I$5+J80*Prislapp!$J$5+K80*Prislapp!$K$5+L80*Prislapp!$L$5+M80*Prislapp!$M$5+N80*Prislapp!$N$5</f>
        <v>5900</v>
      </c>
      <c r="R80" s="9">
        <f>VLOOKUP(A80,'Ansvar kurs'!$A$3:$B$219,2,FALSE)</f>
        <v>5740</v>
      </c>
      <c r="S80" s="162"/>
      <c r="T80" s="162"/>
      <c r="U80" s="162"/>
      <c r="V80" s="162"/>
      <c r="W80" s="162"/>
      <c r="X80" s="162"/>
      <c r="Y80" s="162"/>
      <c r="Z80" s="162"/>
    </row>
    <row r="81" spans="1:26" x14ac:dyDescent="0.25">
      <c r="A81" s="59" t="s">
        <v>526</v>
      </c>
      <c r="B81" s="59" t="s">
        <v>530</v>
      </c>
      <c r="F81" s="32">
        <v>1</v>
      </c>
      <c r="O81" s="41">
        <f>C81*Prislapp!$C$2+D81*Prislapp!$D$2+E81*Prislapp!$E$2+F81*Prislapp!$F$2+G81*Prislapp!$G$2+H81*Prislapp!$H$2+I81*Prislapp!$I$2+J81*Prislapp!$J$2+K81*Prislapp!$K$2+L81*Prislapp!$L$2+M81*Prislapp!$M$2+N81*Prislapp!$N$2</f>
        <v>24104</v>
      </c>
      <c r="P81" s="41">
        <f>C81*Prislapp!$C$3+D81*Prislapp!$D$3+E81*Prislapp!$E$3+F81*Prislapp!$F$3+G81*Prislapp!$G$3+H81*Prislapp!$H$3+I81*Prislapp!$I$3+J81*Prislapp!$J$3+K81*Prislapp!$K$3+M81*Prislapp!$M$3+N81*Prislapp!$N$3</f>
        <v>31432</v>
      </c>
      <c r="Q81" s="41">
        <f>C81*Prislapp!$C$5+D81*Prislapp!$D$5+E81*Prislapp!$E$5+F81*Prislapp!$F$5+G81*Prislapp!$G$5+H81*Prislapp!$H$5+I81*Prislapp!$I$5+J81*Prislapp!$J$5+K81*Prislapp!$K$5+L81*Prislapp!$L$5+M81*Prislapp!$M$5+N81*Prislapp!$N$5</f>
        <v>5900</v>
      </c>
      <c r="R81" s="9">
        <f>VLOOKUP(A81,'Ansvar kurs'!$A$3:$B$219,2,FALSE)</f>
        <v>5740</v>
      </c>
      <c r="S81" s="162"/>
      <c r="T81" s="162"/>
      <c r="U81" s="162"/>
      <c r="V81" s="162"/>
      <c r="W81" s="162"/>
      <c r="X81" s="162"/>
      <c r="Y81" s="162"/>
      <c r="Z81" s="162"/>
    </row>
    <row r="82" spans="1:26" x14ac:dyDescent="0.25">
      <c r="A82" s="59" t="s">
        <v>527</v>
      </c>
      <c r="B82" s="59" t="s">
        <v>531</v>
      </c>
      <c r="F82" s="32">
        <v>1</v>
      </c>
      <c r="O82" s="41">
        <f>C82*Prislapp!$C$2+D82*Prislapp!$D$2+E82*Prislapp!$E$2+F82*Prislapp!$F$2+G82*Prislapp!$G$2+H82*Prislapp!$H$2+I82*Prislapp!$I$2+J82*Prislapp!$J$2+K82*Prislapp!$K$2+L82*Prislapp!$L$2+M82*Prislapp!$M$2+N82*Prislapp!$N$2</f>
        <v>24104</v>
      </c>
      <c r="P82" s="41">
        <f>C82*Prislapp!$C$3+D82*Prislapp!$D$3+E82*Prislapp!$E$3+F82*Prislapp!$F$3+G82*Prislapp!$G$3+H82*Prislapp!$H$3+I82*Prislapp!$I$3+J82*Prislapp!$J$3+K82*Prislapp!$K$3+M82*Prislapp!$M$3+N82*Prislapp!$N$3</f>
        <v>31432</v>
      </c>
      <c r="Q82" s="41">
        <f>C82*Prislapp!$C$5+D82*Prislapp!$D$5+E82*Prislapp!$E$5+F82*Prislapp!$F$5+G82*Prislapp!$G$5+H82*Prislapp!$H$5+I82*Prislapp!$I$5+J82*Prislapp!$J$5+K82*Prislapp!$K$5+L82*Prislapp!$L$5+M82*Prislapp!$M$5+N82*Prislapp!$N$5</f>
        <v>5900</v>
      </c>
      <c r="R82" s="9">
        <f>VLOOKUP(A82,'Ansvar kurs'!$A$3:$B$219,2,FALSE)</f>
        <v>5740</v>
      </c>
      <c r="S82" s="162"/>
      <c r="T82" s="162"/>
      <c r="U82" s="162"/>
      <c r="V82" s="162"/>
      <c r="W82" s="162"/>
      <c r="X82" s="162"/>
      <c r="Y82" s="162"/>
      <c r="Z82" s="162"/>
    </row>
    <row r="83" spans="1:26" x14ac:dyDescent="0.25">
      <c r="A83" s="59" t="s">
        <v>575</v>
      </c>
      <c r="B83" s="59" t="s">
        <v>587</v>
      </c>
      <c r="H83" s="32">
        <v>1</v>
      </c>
      <c r="O83" s="41">
        <f>C83*Prislapp!$C$2+D83*Prislapp!$D$2+E83*Prislapp!$E$2+F83*Prislapp!$F$2+G83*Prislapp!$G$2+H83*Prislapp!$H$2+I83*Prislapp!$I$2+J83*Prislapp!$J$2+K83*Prislapp!$K$2+L83*Prislapp!$L$2+M83*Prislapp!$M$2+N83*Prislapp!$N$2</f>
        <v>19863</v>
      </c>
      <c r="P83" s="41">
        <f>C83*Prislapp!$C$3+D83*Prislapp!$D$3+E83*Prislapp!$E$3+F83*Prislapp!$F$3+G83*Prislapp!$G$3+H83*Prislapp!$H$3+I83*Prislapp!$I$3+J83*Prislapp!$J$3+K83*Prislapp!$K$3+M83*Prislapp!$M$3+N83*Prislapp!$N$3</f>
        <v>35472</v>
      </c>
      <c r="Q83" s="41">
        <f>C83*Prislapp!$C$5+D83*Prislapp!$D$5+E83*Prislapp!$E$5+F83*Prislapp!$F$5+G83*Prislapp!$G$5+H83*Prislapp!$H$5+I83*Prislapp!$I$5+J83*Prislapp!$J$5+K83*Prislapp!$K$5+L83*Prislapp!$L$5+M83*Prislapp!$M$5+N83*Prislapp!$N$5</f>
        <v>22200</v>
      </c>
      <c r="R83" s="9">
        <f>VLOOKUP(A83,'Ansvar kurs'!$A$3:$B$219,2,FALSE)</f>
        <v>5740</v>
      </c>
      <c r="S83" s="162"/>
      <c r="T83" s="162"/>
      <c r="U83" s="162"/>
      <c r="V83" s="162"/>
      <c r="W83" s="162"/>
      <c r="X83" s="162"/>
      <c r="Y83" s="162"/>
      <c r="Z83" s="162"/>
    </row>
    <row r="84" spans="1:26" x14ac:dyDescent="0.25">
      <c r="A84" s="59" t="s">
        <v>576</v>
      </c>
      <c r="B84" s="59" t="s">
        <v>502</v>
      </c>
      <c r="H84" s="32">
        <v>1</v>
      </c>
      <c r="O84" s="41">
        <f>C84*Prislapp!$C$2+D84*Prislapp!$D$2+E84*Prislapp!$E$2+F84*Prislapp!$F$2+G84*Prislapp!$G$2+H84*Prislapp!$H$2+I84*Prislapp!$I$2+J84*Prislapp!$J$2+K84*Prislapp!$K$2+L84*Prislapp!$L$2+M84*Prislapp!$M$2+N84*Prislapp!$N$2</f>
        <v>19863</v>
      </c>
      <c r="P84" s="41">
        <f>C84*Prislapp!$C$3+D84*Prislapp!$D$3+E84*Prislapp!$E$3+F84*Prislapp!$F$3+G84*Prislapp!$G$3+H84*Prislapp!$H$3+I84*Prislapp!$I$3+J84*Prislapp!$J$3+K84*Prislapp!$K$3+M84*Prislapp!$M$3+N84*Prislapp!$N$3</f>
        <v>35472</v>
      </c>
      <c r="Q84" s="41">
        <f>C84*Prislapp!$C$5+D84*Prislapp!$D$5+E84*Prislapp!$E$5+F84*Prislapp!$F$5+G84*Prislapp!$G$5+H84*Prislapp!$H$5+I84*Prislapp!$I$5+J84*Prislapp!$J$5+K84*Prislapp!$K$5+L84*Prislapp!$L$5+M84*Prislapp!$M$5+N84*Prislapp!$N$5</f>
        <v>22200</v>
      </c>
      <c r="R84" s="9">
        <f>VLOOKUP(A84,'Ansvar kurs'!$A$3:$B$219,2,FALSE)</f>
        <v>5740</v>
      </c>
      <c r="S84" s="162"/>
      <c r="T84" s="162"/>
      <c r="U84" s="162"/>
      <c r="V84" s="162"/>
      <c r="W84" s="162"/>
      <c r="X84" s="162"/>
      <c r="Y84" s="162"/>
      <c r="Z84" s="162"/>
    </row>
    <row r="85" spans="1:26" x14ac:dyDescent="0.25">
      <c r="A85" s="59" t="s">
        <v>577</v>
      </c>
      <c r="B85" s="59" t="s">
        <v>503</v>
      </c>
      <c r="H85" s="32">
        <v>1</v>
      </c>
      <c r="O85" s="41">
        <f>C85*Prislapp!$C$2+D85*Prislapp!$D$2+E85*Prislapp!$E$2+F85*Prislapp!$F$2+G85*Prislapp!$G$2+H85*Prislapp!$H$2+I85*Prislapp!$I$2+J85*Prislapp!$J$2+K85*Prislapp!$K$2+L85*Prislapp!$L$2+M85*Prislapp!$M$2+N85*Prislapp!$N$2</f>
        <v>19863</v>
      </c>
      <c r="P85" s="41">
        <f>C85*Prislapp!$C$3+D85*Prislapp!$D$3+E85*Prislapp!$E$3+F85*Prislapp!$F$3+G85*Prislapp!$G$3+H85*Prislapp!$H$3+I85*Prislapp!$I$3+J85*Prislapp!$J$3+K85*Prislapp!$K$3+M85*Prislapp!$M$3+N85*Prislapp!$N$3</f>
        <v>35472</v>
      </c>
      <c r="Q85" s="41">
        <f>C85*Prislapp!$C$5+D85*Prislapp!$D$5+E85*Prislapp!$E$5+F85*Prislapp!$F$5+G85*Prislapp!$G$5+H85*Prislapp!$H$5+I85*Prislapp!$I$5+J85*Prislapp!$J$5+K85*Prislapp!$K$5+L85*Prislapp!$L$5+M85*Prislapp!$M$5+N85*Prislapp!$N$5</f>
        <v>22200</v>
      </c>
      <c r="R85" s="9">
        <f>VLOOKUP(A85,'Ansvar kurs'!$A$3:$B$219,2,FALSE)</f>
        <v>5740</v>
      </c>
      <c r="S85" s="162"/>
      <c r="T85" s="162"/>
      <c r="U85" s="162"/>
      <c r="V85" s="162"/>
      <c r="W85" s="162"/>
      <c r="X85" s="162"/>
      <c r="Y85" s="162"/>
      <c r="Z85" s="162"/>
    </row>
    <row r="86" spans="1:26" x14ac:dyDescent="0.25">
      <c r="A86" s="59" t="s">
        <v>607</v>
      </c>
      <c r="B86" s="59" t="s">
        <v>632</v>
      </c>
      <c r="F86" s="32">
        <v>1</v>
      </c>
      <c r="O86" s="41">
        <f>C86*Prislapp!$C$2+D86*Prislapp!$D$2+E86*Prislapp!$E$2+F86*Prislapp!$F$2+G86*Prislapp!$G$2+H86*Prislapp!$H$2+I86*Prislapp!$I$2+J86*Prislapp!$J$2+K86*Prislapp!$K$2+L86*Prislapp!$L$2+M86*Prislapp!$M$2+N86*Prislapp!$N$2</f>
        <v>24104</v>
      </c>
      <c r="P86" s="41">
        <f>C86*Prislapp!$C$3+D86*Prislapp!$D$3+E86*Prislapp!$E$3+F86*Prislapp!$F$3+G86*Prislapp!$G$3+H86*Prislapp!$H$3+I86*Prislapp!$I$3+J86*Prislapp!$J$3+K86*Prislapp!$K$3+M86*Prislapp!$M$3+N86*Prislapp!$N$3</f>
        <v>31432</v>
      </c>
      <c r="Q86" s="41">
        <f>C86*Prislapp!$C$5+D86*Prislapp!$D$5+E86*Prislapp!$E$5+F86*Prislapp!$F$5+G86*Prislapp!$G$5+H86*Prislapp!$H$5+I86*Prislapp!$I$5+J86*Prislapp!$J$5+K86*Prislapp!$K$5+L86*Prislapp!$L$5+M86*Prislapp!$M$5+N86*Prislapp!$N$5</f>
        <v>5900</v>
      </c>
      <c r="R86" s="9">
        <f>VLOOKUP(A86,'Ansvar kurs'!$A$3:$B$219,2,FALSE)</f>
        <v>5740</v>
      </c>
      <c r="S86" s="162"/>
      <c r="T86" s="162"/>
      <c r="U86" s="162"/>
      <c r="V86" s="162"/>
      <c r="W86" s="162"/>
      <c r="X86" s="162"/>
      <c r="Y86" s="162"/>
      <c r="Z86" s="162"/>
    </row>
    <row r="87" spans="1:26" x14ac:dyDescent="0.25">
      <c r="A87" s="59" t="s">
        <v>608</v>
      </c>
      <c r="B87" s="59" t="s">
        <v>633</v>
      </c>
      <c r="F87" s="32">
        <v>1</v>
      </c>
      <c r="O87" s="41">
        <f>C87*Prislapp!$C$2+D87*Prislapp!$D$2+E87*Prislapp!$E$2+F87*Prislapp!$F$2+G87*Prislapp!$G$2+H87*Prislapp!$H$2+I87*Prislapp!$I$2+J87*Prislapp!$J$2+K87*Prislapp!$K$2+L87*Prislapp!$L$2+M87*Prislapp!$M$2+N87*Prislapp!$N$2</f>
        <v>24104</v>
      </c>
      <c r="P87" s="41">
        <f>C87*Prislapp!$C$3+D87*Prislapp!$D$3+E87*Prislapp!$E$3+F87*Prislapp!$F$3+G87*Prislapp!$G$3+H87*Prislapp!$H$3+I87*Prislapp!$I$3+J87*Prislapp!$J$3+K87*Prislapp!$K$3+M87*Prislapp!$M$3+N87*Prislapp!$N$3</f>
        <v>31432</v>
      </c>
      <c r="Q87" s="41">
        <f>C87*Prislapp!$C$5+D87*Prislapp!$D$5+E87*Prislapp!$E$5+F87*Prislapp!$F$5+G87*Prislapp!$G$5+H87*Prislapp!$H$5+I87*Prislapp!$I$5+J87*Prislapp!$J$5+K87*Prislapp!$K$5+L87*Prislapp!$L$5+M87*Prislapp!$M$5+N87*Prislapp!$N$5</f>
        <v>5900</v>
      </c>
      <c r="R87" s="9">
        <f>VLOOKUP(A87,'Ansvar kurs'!$A$3:$B$219,2,FALSE)</f>
        <v>5740</v>
      </c>
      <c r="S87" s="162"/>
      <c r="T87" s="162"/>
      <c r="U87" s="162"/>
      <c r="V87" s="162"/>
      <c r="W87" s="162"/>
      <c r="X87" s="162"/>
      <c r="Y87" s="162"/>
      <c r="Z87" s="162"/>
    </row>
    <row r="88" spans="1:26" x14ac:dyDescent="0.25">
      <c r="A88" s="59" t="s">
        <v>609</v>
      </c>
      <c r="B88" s="59" t="s">
        <v>634</v>
      </c>
      <c r="F88" s="32">
        <v>1</v>
      </c>
      <c r="O88" s="41">
        <f>C88*Prislapp!$C$2+D88*Prislapp!$D$2+E88*Prislapp!$E$2+F88*Prislapp!$F$2+G88*Prislapp!$G$2+H88*Prislapp!$H$2+I88*Prislapp!$I$2+J88*Prislapp!$J$2+K88*Prislapp!$K$2+L88*Prislapp!$L$2+M88*Prislapp!$M$2+N88*Prislapp!$N$2</f>
        <v>24104</v>
      </c>
      <c r="P88" s="41">
        <f>C88*Prislapp!$C$3+D88*Prislapp!$D$3+E88*Prislapp!$E$3+F88*Prislapp!$F$3+G88*Prislapp!$G$3+H88*Prislapp!$H$3+I88*Prislapp!$I$3+J88*Prislapp!$J$3+K88*Prislapp!$K$3+M88*Prislapp!$M$3+N88*Prislapp!$N$3</f>
        <v>31432</v>
      </c>
      <c r="Q88" s="41">
        <f>C88*Prislapp!$C$5+D88*Prislapp!$D$5+E88*Prislapp!$E$5+F88*Prislapp!$F$5+G88*Prislapp!$G$5+H88*Prislapp!$H$5+I88*Prislapp!$I$5+J88*Prislapp!$J$5+K88*Prislapp!$K$5+L88*Prislapp!$L$5+M88*Prislapp!$M$5+N88*Prislapp!$N$5</f>
        <v>5900</v>
      </c>
      <c r="R88" s="9">
        <f>VLOOKUP(A88,'Ansvar kurs'!$A$3:$B$219,2,FALSE)</f>
        <v>5740</v>
      </c>
      <c r="S88" s="162"/>
      <c r="T88" s="162"/>
      <c r="U88" s="162"/>
      <c r="V88" s="162"/>
      <c r="W88" s="162"/>
      <c r="X88" s="162"/>
      <c r="Y88" s="162"/>
      <c r="Z88" s="162"/>
    </row>
    <row r="89" spans="1:26" x14ac:dyDescent="0.25">
      <c r="A89" s="59" t="s">
        <v>610</v>
      </c>
      <c r="B89" s="59" t="s">
        <v>635</v>
      </c>
      <c r="F89" s="32">
        <v>1</v>
      </c>
      <c r="O89" s="41">
        <f>C89*Prislapp!$C$2+D89*Prislapp!$D$2+E89*Prislapp!$E$2+F89*Prislapp!$F$2+G89*Prislapp!$G$2+H89*Prislapp!$H$2+I89*Prislapp!$I$2+J89*Prislapp!$J$2+K89*Prislapp!$K$2+L89*Prislapp!$L$2+M89*Prislapp!$M$2+N89*Prislapp!$N$2</f>
        <v>24104</v>
      </c>
      <c r="P89" s="41">
        <f>C89*Prislapp!$C$3+D89*Prislapp!$D$3+E89*Prislapp!$E$3+F89*Prislapp!$F$3+G89*Prislapp!$G$3+H89*Prislapp!$H$3+I89*Prislapp!$I$3+J89*Prislapp!$J$3+K89*Prislapp!$K$3+M89*Prislapp!$M$3+N89*Prislapp!$N$3</f>
        <v>31432</v>
      </c>
      <c r="Q89" s="41">
        <f>C89*Prislapp!$C$5+D89*Prislapp!$D$5+E89*Prislapp!$E$5+F89*Prislapp!$F$5+G89*Prislapp!$G$5+H89*Prislapp!$H$5+I89*Prislapp!$I$5+J89*Prislapp!$J$5+K89*Prislapp!$K$5+L89*Prislapp!$L$5+M89*Prislapp!$M$5+N89*Prislapp!$N$5</f>
        <v>5900</v>
      </c>
      <c r="R89" s="9">
        <f>VLOOKUP(A89,'Ansvar kurs'!$A$3:$B$219,2,FALSE)</f>
        <v>5740</v>
      </c>
      <c r="S89" s="162"/>
      <c r="T89" s="162"/>
      <c r="U89" s="162"/>
      <c r="V89" s="162"/>
      <c r="W89" s="162"/>
      <c r="X89" s="162"/>
      <c r="Y89" s="162"/>
      <c r="Z89" s="162"/>
    </row>
    <row r="90" spans="1:26" x14ac:dyDescent="0.25">
      <c r="A90" s="59" t="s">
        <v>708</v>
      </c>
      <c r="B90" s="32" t="s">
        <v>721</v>
      </c>
      <c r="D90" s="32">
        <v>1</v>
      </c>
      <c r="O90" s="41">
        <f>C90*Prislapp!$C$2+D90*Prislapp!$D$2+E90*Prislapp!$E$2+F90*Prislapp!$F$2+G90*Prislapp!$G$2+H90*Prislapp!$H$2+I90*Prislapp!$I$2+J90*Prislapp!$J$2+K90*Prislapp!$K$2+L90*Prislapp!$L$2+M90*Prislapp!$M$2+N90*Prislapp!$N$2</f>
        <v>19097</v>
      </c>
      <c r="P90" s="41">
        <f>C90*Prislapp!$C$3+D90*Prislapp!$D$3+E90*Prislapp!$E$3+F90*Prislapp!$F$3+G90*Prislapp!$G$3+H90*Prislapp!$H$3+I90*Prislapp!$I$3+J90*Prislapp!$J$3+K90*Prislapp!$K$3+M90*Prislapp!$M$3+N90*Prislapp!$N$3</f>
        <v>16075</v>
      </c>
      <c r="Q90" s="41">
        <f>C90*Prislapp!$C$5+D90*Prislapp!$D$5+E90*Prislapp!$E$5+F90*Prislapp!$F$5+G90*Prislapp!$G$5+H90*Prislapp!$H$5+I90*Prislapp!$I$5+J90*Prislapp!$J$5+K90*Prislapp!$K$5+L90*Prislapp!$L$5+M90*Prislapp!$M$5+N90*Prislapp!$N$5</f>
        <v>5900</v>
      </c>
      <c r="R90" s="9">
        <f>VLOOKUP(A90,'Ansvar kurs'!$A$3:$B$219,2,FALSE)</f>
        <v>1620</v>
      </c>
      <c r="S90" s="162"/>
      <c r="T90" s="162"/>
      <c r="U90" s="162"/>
      <c r="V90" s="162"/>
      <c r="W90" s="162"/>
      <c r="X90" s="162"/>
      <c r="Y90" s="162"/>
      <c r="Z90" s="162"/>
    </row>
    <row r="91" spans="1:26" x14ac:dyDescent="0.25">
      <c r="A91" s="59" t="s">
        <v>611</v>
      </c>
      <c r="B91" s="59" t="s">
        <v>636</v>
      </c>
      <c r="D91" s="32">
        <v>1</v>
      </c>
      <c r="O91" s="41">
        <f>C91*Prislapp!$C$2+D91*Prislapp!$D$2+E91*Prislapp!$E$2+F91*Prislapp!$F$2+G91*Prislapp!$G$2+H91*Prislapp!$H$2+I91*Prislapp!$I$2+J91*Prislapp!$J$2+K91*Prislapp!$K$2+L91*Prislapp!$L$2+M91*Prislapp!$M$2+N91*Prislapp!$N$2</f>
        <v>19097</v>
      </c>
      <c r="P91" s="41">
        <f>C91*Prislapp!$C$3+D91*Prislapp!$D$3+E91*Prislapp!$E$3+F91*Prislapp!$F$3+G91*Prislapp!$G$3+H91*Prislapp!$H$3+I91*Prislapp!$I$3+J91*Prislapp!$J$3+K91*Prislapp!$K$3+M91*Prislapp!$M$3+N91*Prislapp!$N$3</f>
        <v>16075</v>
      </c>
      <c r="Q91" s="41">
        <f>C91*Prislapp!$C$5+D91*Prislapp!$D$5+E91*Prislapp!$E$5+F91*Prislapp!$F$5+G91*Prislapp!$G$5+H91*Prislapp!$H$5+I91*Prislapp!$I$5+J91*Prislapp!$J$5+K91*Prislapp!$K$5+L91*Prislapp!$L$5+M91*Prislapp!$M$5+N91*Prislapp!$N$5</f>
        <v>5900</v>
      </c>
      <c r="R91" s="9">
        <f>VLOOKUP(A91,'Ansvar kurs'!$A$3:$B$219,2,FALSE)</f>
        <v>1620</v>
      </c>
      <c r="S91" s="162"/>
      <c r="T91" s="162"/>
      <c r="U91" s="162"/>
      <c r="V91" s="162"/>
      <c r="W91" s="162"/>
      <c r="X91" s="162"/>
      <c r="Y91" s="162"/>
      <c r="Z91" s="162"/>
    </row>
    <row r="92" spans="1:26" x14ac:dyDescent="0.25">
      <c r="A92" s="32" t="s">
        <v>709</v>
      </c>
      <c r="B92" s="32" t="s">
        <v>722</v>
      </c>
      <c r="D92" s="32">
        <v>1</v>
      </c>
      <c r="O92" s="41">
        <f>C92*Prislapp!$C$2+D92*Prislapp!$D$2+E92*Prislapp!$E$2+F92*Prislapp!$F$2+G92*Prislapp!$G$2+H92*Prislapp!$H$2+I92*Prislapp!$I$2+J92*Prislapp!$J$2+K92*Prislapp!$K$2+L92*Prislapp!$L$2+M92*Prislapp!$M$2+N92*Prislapp!$N$2</f>
        <v>19097</v>
      </c>
      <c r="P92" s="41">
        <f>C92*Prislapp!$C$3+D92*Prislapp!$D$3+E92*Prislapp!$E$3+F92*Prislapp!$F$3+G92*Prislapp!$G$3+H92*Prislapp!$H$3+I92*Prislapp!$I$3+J92*Prislapp!$J$3+K92*Prislapp!$K$3+M92*Prislapp!$M$3+N92*Prislapp!$N$3</f>
        <v>16075</v>
      </c>
      <c r="Q92" s="41">
        <f>C92*Prislapp!$C$5+D92*Prislapp!$D$5+E92*Prislapp!$E$5+F92*Prislapp!$F$5+G92*Prislapp!$G$5+H92*Prislapp!$H$5+I92*Prislapp!$I$5+J92*Prislapp!$J$5+K92*Prislapp!$K$5+L92*Prislapp!$L$5+M92*Prislapp!$M$5+N92*Prislapp!$N$5</f>
        <v>5900</v>
      </c>
      <c r="R92" s="9">
        <f>VLOOKUP(A92,'Ansvar kurs'!$A$3:$B$219,2,FALSE)</f>
        <v>1620</v>
      </c>
      <c r="S92" s="162"/>
      <c r="T92" s="162"/>
      <c r="U92" s="162"/>
      <c r="V92" s="162"/>
      <c r="W92" s="162"/>
      <c r="X92" s="162"/>
      <c r="Y92" s="162"/>
      <c r="Z92" s="162"/>
    </row>
    <row r="93" spans="1:26" x14ac:dyDescent="0.25">
      <c r="A93" s="59" t="s">
        <v>676</v>
      </c>
      <c r="B93" s="59" t="s">
        <v>686</v>
      </c>
      <c r="D93" s="32">
        <v>1</v>
      </c>
      <c r="O93" s="41">
        <f>C93*Prislapp!$C$2+D93*Prislapp!$D$2+E93*Prislapp!$E$2+F93*Prislapp!$F$2+G93*Prislapp!$G$2+H93*Prislapp!$H$2+I93*Prislapp!$I$2+J93*Prislapp!$J$2+K93*Prislapp!$K$2+L93*Prislapp!$L$2+M93*Prislapp!$M$2+N93*Prislapp!$N$2</f>
        <v>19097</v>
      </c>
      <c r="P93" s="41">
        <f>C93*Prislapp!$C$3+D93*Prislapp!$D$3+E93*Prislapp!$E$3+F93*Prislapp!$F$3+G93*Prislapp!$G$3+H93*Prislapp!$H$3+I93*Prislapp!$I$3+J93*Prislapp!$J$3+K93*Prislapp!$K$3+M93*Prislapp!$M$3+N93*Prislapp!$N$3</f>
        <v>16075</v>
      </c>
      <c r="Q93" s="41">
        <f>C93*Prislapp!$C$5+D93*Prislapp!$D$5+E93*Prislapp!$E$5+F93*Prislapp!$F$5+G93*Prislapp!$G$5+H93*Prislapp!$H$5+I93*Prislapp!$I$5+J93*Prislapp!$J$5+K93*Prislapp!$K$5+L93*Prislapp!$L$5+M93*Prislapp!$M$5+N93*Prislapp!$N$5</f>
        <v>5900</v>
      </c>
      <c r="R93" s="9">
        <f>VLOOKUP(A93,'Ansvar kurs'!$A$3:$B$219,2,FALSE)</f>
        <v>1620</v>
      </c>
      <c r="S93" s="162"/>
      <c r="T93" s="162"/>
      <c r="U93" s="162"/>
      <c r="V93" s="162"/>
      <c r="W93" s="162"/>
      <c r="X93" s="162"/>
      <c r="Y93" s="162"/>
      <c r="Z93" s="162"/>
    </row>
    <row r="94" spans="1:26" x14ac:dyDescent="0.25">
      <c r="A94" s="32" t="s">
        <v>313</v>
      </c>
      <c r="B94" s="32" t="s">
        <v>417</v>
      </c>
      <c r="C94" s="32">
        <v>0.75</v>
      </c>
      <c r="D94" s="32">
        <v>0.25</v>
      </c>
      <c r="F94" s="32">
        <v>0</v>
      </c>
      <c r="O94" s="41">
        <f>C94*Prislapp!$C$2+D94*Prislapp!$D$2+E94*Prislapp!$E$2+F94*Prislapp!$F$2+G94*Prislapp!$G$2+H94*Prislapp!$H$2+I94*Prislapp!$I$2+J94*Prislapp!$J$2+K94*Prislapp!$K$2+L94*Prislapp!$L$2+M94*Prislapp!$M$2+N94*Prislapp!$N$2</f>
        <v>41445.5</v>
      </c>
      <c r="P94" s="41">
        <f>C94*Prislapp!$C$3+D94*Prislapp!$D$3+E94*Prislapp!$E$3+F94*Prislapp!$F$3+G94*Prislapp!$G$3+H94*Prislapp!$H$3+I94*Prislapp!$I$3+J94*Prislapp!$J$3+K94*Prislapp!$K$3+M94*Prislapp!$M$3+N94*Prislapp!$N$3</f>
        <v>47591.5</v>
      </c>
      <c r="Q94" s="41">
        <f>C94*Prislapp!$C$5+D94*Prislapp!$D$5+E94*Prislapp!$E$5+F94*Prislapp!$F$5+G94*Prislapp!$G$5+H94*Prislapp!$H$5+I94*Prislapp!$I$5+J94*Prislapp!$J$5+K94*Prislapp!$K$5+L94*Prislapp!$L$5+M94*Prislapp!$M$5+N94*Prislapp!$N$5</f>
        <v>54200</v>
      </c>
      <c r="R94" s="9">
        <f>VLOOKUP(A94,'Ansvar kurs'!$A$3:$B$219,2,FALSE)</f>
        <v>1650</v>
      </c>
      <c r="S94" s="185"/>
      <c r="T94" s="162"/>
      <c r="U94" s="162"/>
      <c r="V94" s="162"/>
      <c r="W94" s="162"/>
      <c r="X94" s="162"/>
      <c r="Y94" s="162"/>
      <c r="Z94" s="162"/>
    </row>
    <row r="95" spans="1:26" x14ac:dyDescent="0.25">
      <c r="A95" s="32" t="s">
        <v>371</v>
      </c>
      <c r="B95" s="32" t="s">
        <v>418</v>
      </c>
      <c r="C95" s="32">
        <v>1</v>
      </c>
      <c r="O95" s="41">
        <f>C95*Prislapp!$C$2+D95*Prislapp!$D$2+E95*Prislapp!$E$2+F95*Prislapp!$F$2+G95*Prislapp!$G$2+H95*Prislapp!$H$2+I95*Prislapp!$I$2+J95*Prislapp!$J$2+K95*Prislapp!$K$2+L95*Prislapp!$L$2+M95*Prislapp!$M$2+N95*Prislapp!$N$2</f>
        <v>48895</v>
      </c>
      <c r="P95" s="41">
        <f>C95*Prislapp!$C$3+D95*Prislapp!$D$3+E95*Prislapp!$E$3+F95*Prislapp!$F$3+G95*Prislapp!$G$3+H95*Prislapp!$H$3+I95*Prislapp!$I$3+J95*Prislapp!$J$3+K95*Prislapp!$K$3+M95*Prislapp!$M$3+N95*Prislapp!$N$3</f>
        <v>58097</v>
      </c>
      <c r="Q95" s="41">
        <f>C95*Prislapp!$C$5+D95*Prislapp!$D$5+E95*Prislapp!$E$5+F95*Prislapp!$F$5+G95*Prislapp!$G$5+H95*Prislapp!$H$5+I95*Prislapp!$I$5+J95*Prislapp!$J$5+K95*Prislapp!$K$5+L95*Prislapp!$L$5+M95*Prislapp!$M$5+N95*Prislapp!$N$5</f>
        <v>70300</v>
      </c>
      <c r="R95" s="9">
        <f>VLOOKUP(A95,'Ansvar kurs'!$A$3:$B$219,2,FALSE)</f>
        <v>1650</v>
      </c>
      <c r="S95" s="162"/>
      <c r="T95" s="162"/>
      <c r="U95" s="162"/>
      <c r="V95" s="162"/>
      <c r="W95" s="162"/>
      <c r="X95" s="162"/>
      <c r="Y95" s="162"/>
      <c r="Z95" s="162"/>
    </row>
    <row r="96" spans="1:26" x14ac:dyDescent="0.25">
      <c r="A96" s="32" t="s">
        <v>612</v>
      </c>
      <c r="B96" s="32" t="s">
        <v>637</v>
      </c>
      <c r="C96" s="32">
        <v>1</v>
      </c>
      <c r="O96" s="41">
        <f>C96*Prislapp!$C$2+D96*Prislapp!$D$2+E96*Prislapp!$E$2+F96*Prislapp!$F$2+G96*Prislapp!$G$2+H96*Prislapp!$H$2+I96*Prislapp!$I$2+J96*Prislapp!$J$2+K96*Prislapp!$K$2+L96*Prislapp!$L$2+M96*Prislapp!$M$2+N96*Prislapp!$N$2</f>
        <v>48895</v>
      </c>
      <c r="P96" s="41">
        <f>C96*Prislapp!$C$3+D96*Prislapp!$D$3+E96*Prislapp!$E$3+F96*Prislapp!$F$3+G96*Prislapp!$G$3+H96*Prislapp!$H$3+I96*Prislapp!$I$3+J96*Prislapp!$J$3+K96*Prislapp!$K$3+M96*Prislapp!$M$3+N96*Prislapp!$N$3</f>
        <v>58097</v>
      </c>
      <c r="Q96" s="41">
        <f>C96*Prislapp!$C$5+D96*Prislapp!$D$5+E96*Prislapp!$E$5+F96*Prislapp!$F$5+G96*Prislapp!$G$5+H96*Prislapp!$H$5+I96*Prislapp!$I$5+J96*Prislapp!$J$5+K96*Prislapp!$K$5+L96*Prislapp!$L$5+M96*Prislapp!$M$5+N96*Prislapp!$N$5</f>
        <v>70300</v>
      </c>
      <c r="R96" s="9">
        <f>VLOOKUP(A96,'Ansvar kurs'!$A$3:$B$219,2,FALSE)</f>
        <v>1650</v>
      </c>
      <c r="S96" s="162"/>
      <c r="T96" s="162"/>
      <c r="U96" s="162"/>
      <c r="V96" s="162"/>
      <c r="W96" s="162"/>
      <c r="X96" s="162"/>
      <c r="Y96" s="162"/>
      <c r="Z96" s="162"/>
    </row>
    <row r="97" spans="1:26" x14ac:dyDescent="0.25">
      <c r="A97" s="32" t="s">
        <v>776</v>
      </c>
      <c r="B97" s="32" t="s">
        <v>794</v>
      </c>
      <c r="D97" s="32">
        <v>1</v>
      </c>
      <c r="O97" s="41">
        <f>C97*Prislapp!$C$2+D97*Prislapp!$D$2+E97*Prislapp!$E$2+F97*Prislapp!$F$2+G97*Prislapp!$G$2+H97*Prislapp!$H$2+I97*Prislapp!$I$2+J97*Prislapp!$J$2+K97*Prislapp!$K$2+L97*Prislapp!$L$2+M97*Prislapp!$M$2+N97*Prislapp!$N$2</f>
        <v>19097</v>
      </c>
      <c r="P97" s="41">
        <f>C97*Prislapp!$C$3+D97*Prislapp!$D$3+E97*Prislapp!$E$3+F97*Prislapp!$F$3+G97*Prislapp!$G$3+H97*Prislapp!$H$3+I97*Prislapp!$I$3+J97*Prislapp!$J$3+K97*Prislapp!$K$3+M97*Prislapp!$M$3+N97*Prislapp!$N$3</f>
        <v>16075</v>
      </c>
      <c r="Q97" s="41">
        <f>C97*Prislapp!$C$5+D97*Prislapp!$D$5+E97*Prislapp!$E$5+F97*Prislapp!$F$5+G97*Prislapp!$G$5+H97*Prislapp!$H$5+I97*Prislapp!$I$5+J97*Prislapp!$J$5+K97*Prislapp!$K$5+L97*Prislapp!$L$5+M97*Prislapp!$M$5+N97*Prislapp!$N$5</f>
        <v>5900</v>
      </c>
      <c r="R97" s="9">
        <f>VLOOKUP(A97,'Ansvar kurs'!$A$3:$B$219,2,FALSE)</f>
        <v>1650</v>
      </c>
      <c r="S97" s="162"/>
      <c r="T97" s="162"/>
      <c r="U97" s="162"/>
      <c r="V97" s="162"/>
      <c r="W97" s="162"/>
      <c r="X97" s="162"/>
      <c r="Y97" s="162"/>
      <c r="Z97" s="162"/>
    </row>
    <row r="98" spans="1:26" x14ac:dyDescent="0.25">
      <c r="A98" s="32" t="s">
        <v>395</v>
      </c>
      <c r="B98" s="32" t="s">
        <v>419</v>
      </c>
      <c r="C98" s="32">
        <v>1</v>
      </c>
      <c r="O98" s="41">
        <f>C98*Prislapp!$C$2+D98*Prislapp!$D$2+E98*Prislapp!$E$2+F98*Prislapp!$F$2+G98*Prislapp!$G$2+H98*Prislapp!$H$2+I98*Prislapp!$I$2+J98*Prislapp!$J$2+K98*Prislapp!$K$2+L98*Prislapp!$L$2+M98*Prislapp!$M$2+N98*Prislapp!$N$2</f>
        <v>48895</v>
      </c>
      <c r="P98" s="41">
        <f>C98*Prislapp!$C$3+D98*Prislapp!$D$3+E98*Prislapp!$E$3+F98*Prislapp!$F$3+G98*Prislapp!$G$3+H98*Prislapp!$H$3+I98*Prislapp!$I$3+J98*Prislapp!$J$3+K98*Prislapp!$K$3+M98*Prislapp!$M$3+N98*Prislapp!$N$3</f>
        <v>58097</v>
      </c>
      <c r="Q98" s="41">
        <f>C98*Prislapp!$C$5+D98*Prislapp!$D$5+E98*Prislapp!$E$5+F98*Prislapp!$F$5+G98*Prislapp!$G$5+H98*Prislapp!$H$5+I98*Prislapp!$I$5+J98*Prislapp!$J$5+K98*Prislapp!$K$5+L98*Prislapp!$L$5+M98*Prislapp!$M$5+N98*Prislapp!$N$5</f>
        <v>70300</v>
      </c>
      <c r="R98" s="9">
        <f>VLOOKUP(A98,'Ansvar kurs'!$A$3:$B$219,2,FALSE)</f>
        <v>1650</v>
      </c>
      <c r="S98" s="162"/>
      <c r="T98" s="162"/>
      <c r="U98" s="162"/>
      <c r="V98" s="162"/>
      <c r="W98" s="162"/>
      <c r="X98" s="162"/>
      <c r="Y98" s="162"/>
      <c r="Z98" s="162"/>
    </row>
    <row r="99" spans="1:26" x14ac:dyDescent="0.25">
      <c r="A99" s="32" t="s">
        <v>409</v>
      </c>
      <c r="B99" s="32" t="s">
        <v>433</v>
      </c>
      <c r="C99" s="32">
        <v>1</v>
      </c>
      <c r="O99" s="41">
        <f>C99*Prislapp!$C$2+D99*Prislapp!$D$2+E99*Prislapp!$E$2+F99*Prislapp!$F$2+G99*Prislapp!$G$2+H99*Prislapp!$H$2+I99*Prislapp!$I$2+J99*Prislapp!$J$2+K99*Prislapp!$K$2+L99*Prislapp!$L$2+M99*Prislapp!$M$2+N99*Prislapp!$N$2</f>
        <v>48895</v>
      </c>
      <c r="P99" s="41">
        <f>C99*Prislapp!$C$3+D99*Prislapp!$D$3+E99*Prislapp!$E$3+F99*Prislapp!$F$3+G99*Prislapp!$G$3+H99*Prislapp!$H$3+I99*Prislapp!$I$3+J99*Prislapp!$J$3+K99*Prislapp!$K$3+M99*Prislapp!$M$3+N99*Prislapp!$N$3</f>
        <v>58097</v>
      </c>
      <c r="Q99" s="41">
        <f>C99*Prislapp!$C$5+D99*Prislapp!$D$5+E99*Prislapp!$E$5+F99*Prislapp!$F$5+G99*Prislapp!$G$5+H99*Prislapp!$H$5+I99*Prislapp!$I$5+J99*Prislapp!$J$5+K99*Prislapp!$K$5+L99*Prislapp!$L$5+M99*Prislapp!$M$5+N99*Prislapp!$N$5</f>
        <v>70300</v>
      </c>
      <c r="R99" s="9">
        <f>VLOOKUP(A99,'Ansvar kurs'!$A$3:$B$219,2,FALSE)</f>
        <v>1650</v>
      </c>
      <c r="S99" s="162"/>
      <c r="T99" s="162"/>
      <c r="U99" s="162"/>
      <c r="V99" s="162"/>
      <c r="W99" s="162"/>
      <c r="X99" s="162"/>
      <c r="Y99" s="162"/>
      <c r="Z99" s="162"/>
    </row>
    <row r="100" spans="1:26" x14ac:dyDescent="0.25">
      <c r="A100" s="59" t="s">
        <v>710</v>
      </c>
      <c r="B100" s="59" t="s">
        <v>648</v>
      </c>
      <c r="K100" s="32">
        <v>1</v>
      </c>
      <c r="O100" s="41">
        <f>C100*Prislapp!$C$2+D100*Prislapp!$D$2+E100*Prislapp!$E$2+F100*Prislapp!$F$2+G100*Prislapp!$G$2+H100*Prislapp!$H$2+I100*Prislapp!$I$2+J100*Prislapp!$J$2+K100*Prislapp!$K$2+L100*Prislapp!$L$2+M100*Prislapp!$M$2+N100*Prislapp!$N$2</f>
        <v>24740</v>
      </c>
      <c r="P100" s="41">
        <f>C100*Prislapp!$C$3+D100*Prislapp!$D$3+E100*Prislapp!$E$3+F100*Prislapp!$F$3+G100*Prislapp!$G$3+H100*Prislapp!$H$3+I100*Prislapp!$I$3+J100*Prislapp!$J$3+K100*Prislapp!$K$3+M100*Prislapp!$M$3+N100*Prislapp!$N$3</f>
        <v>27503</v>
      </c>
      <c r="Q100" s="41">
        <f>C100*Prislapp!$C$5+D100*Prislapp!$D$5+E100*Prislapp!$E$5+F100*Prislapp!$F$5+G100*Prislapp!$G$5+H100*Prislapp!$H$5+I100*Prislapp!$I$5+J100*Prislapp!$J$5+K100*Prislapp!$K$5+L100*Prislapp!$L$5+M100*Prislapp!$M$5+N100*Prislapp!$N$5</f>
        <v>3500</v>
      </c>
      <c r="R100" s="9">
        <f>VLOOKUP(A100,'Ansvar kurs'!$A$3:$B$219,2,FALSE)</f>
        <v>1650</v>
      </c>
      <c r="S100" s="162"/>
      <c r="T100" s="162"/>
      <c r="U100" s="162"/>
      <c r="V100" s="162"/>
      <c r="W100" s="162"/>
      <c r="X100" s="162"/>
      <c r="Y100" s="162"/>
      <c r="Z100" s="162"/>
    </row>
    <row r="101" spans="1:26" x14ac:dyDescent="0.25">
      <c r="A101" s="239" t="s">
        <v>711</v>
      </c>
      <c r="B101" s="56" t="s">
        <v>723</v>
      </c>
      <c r="K101" s="32">
        <v>1</v>
      </c>
      <c r="O101" s="41">
        <f>C101*Prislapp!$C$2+D101*Prislapp!$D$2+E101*Prislapp!$E$2+F101*Prislapp!$F$2+G101*Prislapp!$G$2+H101*Prislapp!$H$2+I101*Prislapp!$I$2+J101*Prislapp!$J$2+K101*Prislapp!$K$2+L101*Prislapp!$L$2+M101*Prislapp!$M$2+N101*Prislapp!$N$2</f>
        <v>24740</v>
      </c>
      <c r="P101" s="41">
        <f>C101*Prislapp!$C$3+D101*Prislapp!$D$3+E101*Prislapp!$E$3+F101*Prislapp!$F$3+G101*Prislapp!$G$3+H101*Prislapp!$H$3+I101*Prislapp!$I$3+J101*Prislapp!$J$3+K101*Prislapp!$K$3+M101*Prislapp!$M$3+N101*Prislapp!$N$3</f>
        <v>27503</v>
      </c>
      <c r="Q101" s="41">
        <f>C101*Prislapp!$C$5+D101*Prislapp!$D$5+E101*Prislapp!$E$5+F101*Prislapp!$F$5+G101*Prislapp!$G$5+H101*Prislapp!$H$5+I101*Prislapp!$I$5+J101*Prislapp!$J$5+K101*Prislapp!$K$5+L101*Prislapp!$L$5+M101*Prislapp!$M$5+N101*Prislapp!$N$5</f>
        <v>3500</v>
      </c>
      <c r="R101" s="9">
        <f>VLOOKUP(A101,'Ansvar kurs'!$A$3:$B$219,2,FALSE)</f>
        <v>1650</v>
      </c>
      <c r="S101" s="162"/>
      <c r="T101" s="162"/>
      <c r="U101" s="162"/>
      <c r="V101" s="162"/>
      <c r="W101" s="162"/>
      <c r="X101" s="162"/>
      <c r="Y101" s="162"/>
      <c r="Z101" s="162"/>
    </row>
    <row r="102" spans="1:26" x14ac:dyDescent="0.25">
      <c r="A102" s="32" t="s">
        <v>677</v>
      </c>
      <c r="B102" s="32" t="s">
        <v>687</v>
      </c>
      <c r="C102" s="32">
        <v>1</v>
      </c>
      <c r="O102" s="41">
        <f>C102*Prislapp!$C$2+D102*Prislapp!$D$2+E102*Prislapp!$E$2+F102*Prislapp!$F$2+G102*Prislapp!$G$2+H102*Prislapp!$H$2+I102*Prislapp!$I$2+J102*Prislapp!$J$2+K102*Prislapp!$K$2+L102*Prislapp!$L$2+M102*Prislapp!$M$2+N102*Prislapp!$N$2</f>
        <v>48895</v>
      </c>
      <c r="P102" s="41">
        <f>C102*Prislapp!$C$3+D102*Prislapp!$D$3+E102*Prislapp!$E$3+F102*Prislapp!$F$3+G102*Prislapp!$G$3+H102*Prislapp!$H$3+I102*Prislapp!$I$3+J102*Prislapp!$J$3+K102*Prislapp!$K$3+M102*Prislapp!$M$3+N102*Prislapp!$N$3</f>
        <v>58097</v>
      </c>
      <c r="Q102" s="41">
        <f>C102*Prislapp!$C$5+D102*Prislapp!$D$5+E102*Prislapp!$E$5+F102*Prislapp!$F$5+G102*Prislapp!$G$5+H102*Prislapp!$H$5+I102*Prislapp!$I$5+J102*Prislapp!$J$5+K102*Prislapp!$K$5+L102*Prislapp!$L$5+M102*Prislapp!$M$5+N102*Prislapp!$N$5</f>
        <v>70300</v>
      </c>
      <c r="R102" s="9">
        <f>VLOOKUP(A102,'Ansvar kurs'!$A$3:$B$219,2,FALSE)</f>
        <v>1650</v>
      </c>
      <c r="S102"/>
      <c r="T102"/>
      <c r="U102" s="162"/>
      <c r="V102" s="162"/>
      <c r="W102" s="162"/>
      <c r="X102" s="162"/>
      <c r="Y102" s="162"/>
      <c r="Z102" s="162"/>
    </row>
    <row r="103" spans="1:26" x14ac:dyDescent="0.25">
      <c r="A103" s="59" t="s">
        <v>765</v>
      </c>
      <c r="B103" s="59" t="s">
        <v>419</v>
      </c>
      <c r="C103" s="32">
        <v>1</v>
      </c>
      <c r="O103" s="41">
        <f>C103*Prislapp!$C$2+D103*Prislapp!$D$2+E103*Prislapp!$E$2+F103*Prislapp!$F$2+G103*Prislapp!$G$2+H103*Prislapp!$H$2+I103*Prislapp!$I$2+J103*Prislapp!$J$2+K103*Prislapp!$K$2+L103*Prislapp!$L$2+M103*Prislapp!$M$2+N103*Prislapp!$N$2</f>
        <v>48895</v>
      </c>
      <c r="P103" s="41">
        <f>C103*Prislapp!$C$3+D103*Prislapp!$D$3+E103*Prislapp!$E$3+F103*Prislapp!$F$3+G103*Prislapp!$G$3+H103*Prislapp!$H$3+I103*Prislapp!$I$3+J103*Prislapp!$J$3+K103*Prislapp!$K$3+M103*Prislapp!$M$3+N103*Prislapp!$N$3</f>
        <v>58097</v>
      </c>
      <c r="Q103" s="41">
        <f>C103*Prislapp!$C$5+D103*Prislapp!$D$5+E103*Prislapp!$E$5+F103*Prislapp!$F$5+G103*Prislapp!$G$5+H103*Prislapp!$H$5+I103*Prislapp!$I$5+J103*Prislapp!$J$5+K103*Prislapp!$K$5+L103*Prislapp!$L$5+M103*Prislapp!$M$5+N103*Prislapp!$N$5</f>
        <v>70300</v>
      </c>
      <c r="R103" s="9">
        <f>VLOOKUP(A103,'Ansvar kurs'!$A$3:$B$219,2,FALSE)</f>
        <v>1650</v>
      </c>
      <c r="S103" s="56"/>
      <c r="T103"/>
      <c r="U103" s="162"/>
      <c r="V103" s="162"/>
      <c r="W103" s="162"/>
      <c r="X103" s="162"/>
      <c r="Y103" s="162"/>
      <c r="Z103" s="162"/>
    </row>
    <row r="104" spans="1:26" x14ac:dyDescent="0.25">
      <c r="A104" s="59" t="s">
        <v>777</v>
      </c>
      <c r="B104" s="59" t="s">
        <v>433</v>
      </c>
      <c r="C104" s="32">
        <v>1</v>
      </c>
      <c r="O104" s="41">
        <f>C104*Prislapp!$C$2+D104*Prislapp!$D$2+E104*Prislapp!$E$2+F104*Prislapp!$F$2+G104*Prislapp!$G$2+H104*Prislapp!$H$2+I104*Prislapp!$I$2+J104*Prislapp!$J$2+K104*Prislapp!$K$2+L104*Prislapp!$L$2+M104*Prislapp!$M$2+N104*Prislapp!$N$2</f>
        <v>48895</v>
      </c>
      <c r="P104" s="41">
        <f>C104*Prislapp!$C$3+D104*Prislapp!$D$3+E104*Prislapp!$E$3+F104*Prislapp!$F$3+G104*Prislapp!$G$3+H104*Prislapp!$H$3+I104*Prislapp!$I$3+J104*Prislapp!$J$3+K104*Prislapp!$K$3+M104*Prislapp!$M$3+N104*Prislapp!$N$3</f>
        <v>58097</v>
      </c>
      <c r="Q104" s="41">
        <f>C104*Prislapp!$C$5+D104*Prislapp!$D$5+E104*Prislapp!$E$5+F104*Prislapp!$F$5+G104*Prislapp!$G$5+H104*Prislapp!$H$5+I104*Prislapp!$I$5+J104*Prislapp!$J$5+K104*Prislapp!$K$5+L104*Prislapp!$L$5+M104*Prislapp!$M$5+N104*Prislapp!$N$5</f>
        <v>70300</v>
      </c>
      <c r="R104" s="9">
        <f>VLOOKUP(A104,'Ansvar kurs'!$A$3:$B$219,2,FALSE)</f>
        <v>1650</v>
      </c>
      <c r="S104" s="56"/>
      <c r="T104"/>
      <c r="U104" s="162"/>
      <c r="V104" s="162"/>
      <c r="W104" s="162"/>
      <c r="X104" s="162"/>
      <c r="Y104" s="162"/>
      <c r="Z104" s="162"/>
    </row>
    <row r="105" spans="1:26" x14ac:dyDescent="0.25">
      <c r="A105" s="59" t="s">
        <v>833</v>
      </c>
      <c r="B105" s="59" t="s">
        <v>417</v>
      </c>
      <c r="C105" s="32">
        <v>0.75</v>
      </c>
      <c r="D105" s="32">
        <v>0.25</v>
      </c>
      <c r="O105" s="41">
        <f>C105*Prislapp!$C$2+D105*Prislapp!$D$2+E105*Prislapp!$E$2+F105*Prislapp!$F$2+G105*Prislapp!$G$2+H105*Prislapp!$H$2+I105*Prislapp!$I$2+J105*Prislapp!$J$2+K105*Prislapp!$K$2+L105*Prislapp!$L$2+M105*Prislapp!$M$2+N105*Prislapp!$N$2</f>
        <v>41445.5</v>
      </c>
      <c r="P105" s="41">
        <f>C105*Prislapp!$C$3+D105*Prislapp!$D$3+E105*Prislapp!$E$3+F105*Prislapp!$F$3+G105*Prislapp!$G$3+H105*Prislapp!$H$3+I105*Prislapp!$I$3+J105*Prislapp!$J$3+K105*Prislapp!$K$3+M105*Prislapp!$M$3+N105*Prislapp!$N$3</f>
        <v>47591.5</v>
      </c>
      <c r="Q105" s="41">
        <f>C105*Prislapp!$C$5+D105*Prislapp!$D$5+E105*Prislapp!$E$5+F105*Prislapp!$F$5+G105*Prislapp!$G$5+H105*Prislapp!$H$5+I105*Prislapp!$I$5+J105*Prislapp!$J$5+K105*Prislapp!$K$5+L105*Prislapp!$L$5+M105*Prislapp!$M$5+N105*Prislapp!$N$5</f>
        <v>54200</v>
      </c>
      <c r="R105" s="9">
        <f>VLOOKUP(A105,'Ansvar kurs'!$A$3:$B$219,2,FALSE)</f>
        <v>1650</v>
      </c>
      <c r="S105" s="56"/>
      <c r="U105" s="162"/>
      <c r="V105" s="162"/>
      <c r="W105" s="162"/>
      <c r="X105" s="162"/>
      <c r="Y105" s="162"/>
      <c r="Z105" s="162"/>
    </row>
    <row r="106" spans="1:26" x14ac:dyDescent="0.25">
      <c r="A106" s="32" t="s">
        <v>678</v>
      </c>
      <c r="B106" s="32" t="s">
        <v>688</v>
      </c>
      <c r="H106" s="32">
        <v>1</v>
      </c>
      <c r="O106" s="41">
        <f>C106*Prislapp!$C$2+D106*Prislapp!$D$2+E106*Prislapp!$E$2+F106*Prislapp!$F$2+G106*Prislapp!$G$2+H106*Prislapp!$H$2+I106*Prislapp!$I$2+J106*Prislapp!$J$2+K106*Prislapp!$K$2+L106*Prislapp!$L$2+M106*Prislapp!$M$2+N106*Prislapp!$N$2</f>
        <v>19863</v>
      </c>
      <c r="P106" s="41">
        <f>C106*Prislapp!$C$3+D106*Prislapp!$D$3+E106*Prislapp!$E$3+F106*Prislapp!$F$3+G106*Prislapp!$G$3+H106*Prislapp!$H$3+I106*Prislapp!$I$3+J106*Prislapp!$J$3+K106*Prislapp!$K$3+M106*Prislapp!$M$3+N106*Prislapp!$N$3</f>
        <v>35472</v>
      </c>
      <c r="Q106" s="41">
        <f>C106*Prislapp!$C$5+D106*Prislapp!$D$5+E106*Prislapp!$E$5+F106*Prislapp!$F$5+G106*Prislapp!$G$5+H106*Prislapp!$H$5+I106*Prislapp!$I$5+J106*Prislapp!$J$5+K106*Prislapp!$K$5+L106*Prislapp!$L$5+M106*Prislapp!$M$5+N106*Prislapp!$N$5</f>
        <v>22200</v>
      </c>
      <c r="R106" s="9">
        <f>VLOOKUP(A106,'Ansvar kurs'!$A$3:$B$219,2,FALSE)</f>
        <v>5400</v>
      </c>
      <c r="S106" s="162"/>
      <c r="T106" s="162"/>
      <c r="U106" s="162"/>
      <c r="V106" s="162"/>
      <c r="W106" s="162"/>
      <c r="X106" s="162"/>
      <c r="Y106" s="162"/>
      <c r="Z106" s="162"/>
    </row>
    <row r="107" spans="1:26" x14ac:dyDescent="0.25">
      <c r="A107" s="239" t="s">
        <v>545</v>
      </c>
      <c r="B107" s="32" t="s">
        <v>502</v>
      </c>
      <c r="H107" s="32">
        <v>1</v>
      </c>
      <c r="O107" s="41">
        <f>C107*Prislapp!$C$2+D107*Prislapp!$D$2+E107*Prislapp!$E$2+F107*Prislapp!$F$2+G107*Prislapp!$G$2+H107*Prislapp!$H$2+I107*Prislapp!$I$2+J107*Prislapp!$J$2+K107*Prislapp!$K$2+L107*Prislapp!$L$2+M107*Prislapp!$M$2+N107*Prislapp!$N$2</f>
        <v>19863</v>
      </c>
      <c r="P107" s="41">
        <f>C107*Prislapp!$C$3+D107*Prislapp!$D$3+E107*Prislapp!$E$3+F107*Prislapp!$F$3+G107*Prislapp!$G$3+H107*Prislapp!$H$3+I107*Prislapp!$I$3+J107*Prislapp!$J$3+K107*Prislapp!$K$3+M107*Prislapp!$M$3+N107*Prislapp!$N$3</f>
        <v>35472</v>
      </c>
      <c r="Q107" s="41">
        <f>C107*Prislapp!$C$5+D107*Prislapp!$D$5+E107*Prislapp!$E$5+F107*Prislapp!$F$5+G107*Prislapp!$G$5+H107*Prislapp!$H$5+I107*Prislapp!$I$5+J107*Prislapp!$J$5+K107*Prislapp!$K$5+L107*Prislapp!$L$5+M107*Prislapp!$M$5+N107*Prislapp!$N$5</f>
        <v>22200</v>
      </c>
      <c r="R107" s="9">
        <f>VLOOKUP(A107,'Ansvar kurs'!$A$3:$B$219,2,FALSE)</f>
        <v>5740</v>
      </c>
      <c r="S107" s="162"/>
    </row>
    <row r="108" spans="1:26" x14ac:dyDescent="0.25">
      <c r="A108" s="239" t="s">
        <v>546</v>
      </c>
      <c r="B108" s="32" t="s">
        <v>503</v>
      </c>
      <c r="H108" s="32">
        <v>1</v>
      </c>
      <c r="O108" s="41">
        <f>C108*Prislapp!$C$2+D108*Prislapp!$D$2+E108*Prislapp!$E$2+F108*Prislapp!$F$2+G108*Prislapp!$G$2+H108*Prislapp!$H$2+I108*Prislapp!$I$2+J108*Prislapp!$J$2+K108*Prislapp!$K$2+L108*Prislapp!$L$2+M108*Prislapp!$M$2+N108*Prislapp!$N$2</f>
        <v>19863</v>
      </c>
      <c r="P108" s="41">
        <f>C108*Prislapp!$C$3+D108*Prislapp!$D$3+E108*Prislapp!$E$3+F108*Prislapp!$F$3+G108*Prislapp!$G$3+H108*Prislapp!$H$3+I108*Prislapp!$I$3+J108*Prislapp!$J$3+K108*Prislapp!$K$3+M108*Prislapp!$M$3+N108*Prislapp!$N$3</f>
        <v>35472</v>
      </c>
      <c r="Q108" s="41">
        <f>C108*Prislapp!$C$5+D108*Prislapp!$D$5+E108*Prislapp!$E$5+F108*Prislapp!$F$5+G108*Prislapp!$G$5+H108*Prislapp!$H$5+I108*Prislapp!$I$5+J108*Prislapp!$J$5+K108*Prislapp!$K$5+L108*Prislapp!$L$5+M108*Prislapp!$M$5+N108*Prislapp!$N$5</f>
        <v>22200</v>
      </c>
      <c r="R108" s="9">
        <f>VLOOKUP(A108,'Ansvar kurs'!$A$3:$B$219,2,FALSE)</f>
        <v>5740</v>
      </c>
      <c r="S108" s="162"/>
    </row>
    <row r="109" spans="1:26" x14ac:dyDescent="0.25">
      <c r="A109" s="239" t="s">
        <v>613</v>
      </c>
      <c r="B109" s="32" t="s">
        <v>638</v>
      </c>
      <c r="D109" s="32">
        <v>1</v>
      </c>
      <c r="O109" s="41">
        <f>C109*Prislapp!$C$2+D109*Prislapp!$D$2+E109*Prislapp!$E$2+F109*Prislapp!$F$2+G109*Prislapp!$G$2+H109*Prislapp!$H$2+I109*Prislapp!$I$2+J109*Prislapp!$J$2+K109*Prislapp!$K$2+L109*Prislapp!$L$2+M109*Prislapp!$M$2+N109*Prislapp!$N$2</f>
        <v>19097</v>
      </c>
      <c r="P109" s="41">
        <f>C109*Prislapp!$C$3+D109*Prislapp!$D$3+E109*Prislapp!$E$3+F109*Prislapp!$F$3+G109*Prislapp!$G$3+H109*Prislapp!$H$3+I109*Prislapp!$I$3+J109*Prislapp!$J$3+K109*Prislapp!$K$3+M109*Prislapp!$M$3+N109*Prislapp!$N$3</f>
        <v>16075</v>
      </c>
      <c r="Q109" s="41">
        <f>C109*Prislapp!$C$5+D109*Prislapp!$D$5+E109*Prislapp!$E$5+F109*Prislapp!$F$5+G109*Prislapp!$G$5+H109*Prislapp!$H$5+I109*Prislapp!$I$5+J109*Prislapp!$J$5+K109*Prislapp!$K$5+L109*Prislapp!$L$5+M109*Prislapp!$M$5+N109*Prislapp!$N$5</f>
        <v>5900</v>
      </c>
      <c r="R109" s="9">
        <f>VLOOKUP(A109,'Ansvar kurs'!$A$3:$B$219,2,FALSE)</f>
        <v>1630</v>
      </c>
      <c r="S109" s="162"/>
    </row>
    <row r="110" spans="1:26" x14ac:dyDescent="0.25">
      <c r="A110" s="239" t="s">
        <v>571</v>
      </c>
      <c r="B110" s="32" t="s">
        <v>583</v>
      </c>
      <c r="D110" s="32">
        <v>1</v>
      </c>
      <c r="O110" s="41">
        <f>C110*Prislapp!$C$2+D110*Prislapp!$D$2+E110*Prislapp!$E$2+F110*Prislapp!$F$2+G110*Prislapp!$G$2+H110*Prislapp!$H$2+I110*Prislapp!$I$2+J110*Prislapp!$J$2+K110*Prislapp!$K$2+L110*Prislapp!$L$2+M110*Prislapp!$M$2+N110*Prislapp!$N$2</f>
        <v>19097</v>
      </c>
      <c r="P110" s="41">
        <f>C110*Prislapp!$C$3+D110*Prislapp!$D$3+E110*Prislapp!$E$3+F110*Prislapp!$F$3+G110*Prislapp!$G$3+H110*Prislapp!$H$3+I110*Prislapp!$I$3+J110*Prislapp!$J$3+K110*Prislapp!$K$3+M110*Prislapp!$M$3+N110*Prislapp!$N$3</f>
        <v>16075</v>
      </c>
      <c r="Q110" s="41">
        <f>C110*Prislapp!$C$5+D110*Prislapp!$D$5+E110*Prislapp!$E$5+F110*Prislapp!$F$5+G110*Prislapp!$G$5+H110*Prislapp!$H$5+I110*Prislapp!$I$5+J110*Prislapp!$J$5+K110*Prislapp!$K$5+L110*Prislapp!$L$5+M110*Prislapp!$M$5+N110*Prislapp!$N$5</f>
        <v>5900</v>
      </c>
      <c r="R110" s="9">
        <f>VLOOKUP(A110,'Ansvar kurs'!$A$3:$B$219,2,FALSE)</f>
        <v>1630</v>
      </c>
      <c r="S110" s="162"/>
    </row>
    <row r="111" spans="1:26" x14ac:dyDescent="0.25">
      <c r="A111" s="239" t="s">
        <v>667</v>
      </c>
      <c r="B111" s="59" t="s">
        <v>672</v>
      </c>
      <c r="I111" s="32">
        <v>1</v>
      </c>
      <c r="O111" s="41">
        <f>C111*Prislapp!$C$2+D111*Prislapp!$D$2+E111*Prislapp!$E$2+F111*Prislapp!$F$2+G111*Prislapp!$G$2+H111*Prislapp!$H$2+I111*Prislapp!$I$2+J111*Prislapp!$J$2+K111*Prislapp!$K$2+L111*Prislapp!$L$2+M111*Prislapp!$M$2+N111*Prislapp!$N$2</f>
        <v>19097</v>
      </c>
      <c r="P111" s="41">
        <f>C111*Prislapp!$C$3+D111*Prislapp!$D$3+E111*Prislapp!$E$3+F111*Prislapp!$F$3+G111*Prislapp!$G$3+H111*Prislapp!$H$3+I111*Prislapp!$I$3+J111*Prislapp!$J$3+K111*Prislapp!$K$3+M111*Prislapp!$M$3+N111*Prislapp!$N$3</f>
        <v>16075</v>
      </c>
      <c r="Q111" s="41">
        <f>C111*Prislapp!$C$5+D111*Prislapp!$D$5+E111*Prislapp!$E$5+F111*Prislapp!$F$5+G111*Prislapp!$G$5+H111*Prislapp!$H$5+I111*Prislapp!$I$5+J111*Prislapp!$J$5+K111*Prislapp!$K$5+L111*Prislapp!$L$5+M111*Prislapp!$M$5+N111*Prislapp!$N$5</f>
        <v>5900</v>
      </c>
      <c r="R111" s="9">
        <f>VLOOKUP(A111,'Ansvar kurs'!$A$3:$B$219,2,FALSE)</f>
        <v>2180</v>
      </c>
      <c r="S111" s="162"/>
    </row>
    <row r="112" spans="1:26" x14ac:dyDescent="0.25">
      <c r="A112" s="32" t="s">
        <v>695</v>
      </c>
      <c r="B112" s="32" t="s">
        <v>392</v>
      </c>
      <c r="E112" s="32">
        <v>1</v>
      </c>
      <c r="O112" s="41">
        <f>C112*Prislapp!$C$2+D112*Prislapp!$D$2+E112*Prislapp!$E$2+F112*Prislapp!$F$2+G112*Prislapp!$G$2+H112*Prislapp!$H$2+I112*Prislapp!$I$2+J112*Prislapp!$J$2+K112*Prislapp!$K$2+L112*Prislapp!$L$2+M112*Prislapp!$M$2+N112*Prislapp!$N$2</f>
        <v>45856</v>
      </c>
      <c r="P112" s="41">
        <f>C112*Prislapp!$C$3+D112*Prislapp!$D$3+E112*Prislapp!$E$3+F112*Prislapp!$F$3+G112*Prislapp!$G$3+H112*Prislapp!$H$3+I112*Prislapp!$I$3+J112*Prislapp!$J$3+K112*Prislapp!$K$3+M112*Prislapp!$M$3+N112*Prislapp!$N$3</f>
        <v>34830</v>
      </c>
      <c r="Q112" s="41">
        <f>C112*Prislapp!$C$5+D112*Prislapp!$D$5+E112*Prislapp!$E$5+F112*Prislapp!$F$5+G112*Prislapp!$G$5+H112*Prislapp!$H$5+I112*Prislapp!$I$5+J112*Prislapp!$J$5+K112*Prislapp!$K$5+L112*Prislapp!$L$5+M112*Prislapp!$M$5+N112*Prislapp!$N$5</f>
        <v>35200</v>
      </c>
      <c r="R112" s="9">
        <f>VLOOKUP(A112,'Ansvar kurs'!$A$3:$B$219,2,FALSE)</f>
        <v>2180</v>
      </c>
      <c r="S112" s="162"/>
      <c r="T112" s="162"/>
      <c r="U112" s="162"/>
      <c r="V112" s="162"/>
      <c r="W112" s="162"/>
      <c r="X112" s="162"/>
      <c r="Y112" s="162"/>
      <c r="Z112" s="162"/>
    </row>
    <row r="113" spans="1:26" x14ac:dyDescent="0.25">
      <c r="A113" s="239" t="s">
        <v>712</v>
      </c>
      <c r="B113" s="56" t="s">
        <v>724</v>
      </c>
      <c r="E113" s="32">
        <v>1</v>
      </c>
      <c r="O113" s="41">
        <f>C113*Prislapp!$C$2+D113*Prislapp!$D$2+E113*Prislapp!$E$2+F113*Prislapp!$F$2+G113*Prislapp!$G$2+H113*Prislapp!$H$2+I113*Prislapp!$I$2+J113*Prislapp!$J$2+K113*Prislapp!$K$2+L113*Prislapp!$L$2+M113*Prislapp!$M$2+N113*Prislapp!$N$2</f>
        <v>45856</v>
      </c>
      <c r="P113" s="41">
        <f>C113*Prislapp!$C$3+D113*Prislapp!$D$3+E113*Prislapp!$E$3+F113*Prislapp!$F$3+G113*Prislapp!$G$3+H113*Prislapp!$H$3+I113*Prislapp!$I$3+J113*Prislapp!$J$3+K113*Prislapp!$K$3+M113*Prislapp!$M$3+N113*Prislapp!$N$3</f>
        <v>34830</v>
      </c>
      <c r="Q113" s="41">
        <f>C113*Prislapp!$C$5+D113*Prislapp!$D$5+E113*Prislapp!$E$5+F113*Prislapp!$F$5+G113*Prislapp!$G$5+H113*Prislapp!$H$5+I113*Prislapp!$I$5+J113*Prislapp!$J$5+K113*Prislapp!$K$5+L113*Prislapp!$L$5+M113*Prislapp!$M$5+N113*Prislapp!$N$5</f>
        <v>35200</v>
      </c>
      <c r="R113" s="9">
        <f>VLOOKUP(A113,'Ansvar kurs'!$A$3:$B$219,2,FALSE)</f>
        <v>2180</v>
      </c>
      <c r="S113" s="162"/>
      <c r="T113" s="162"/>
      <c r="U113" s="162"/>
      <c r="V113" s="162"/>
      <c r="W113" s="162"/>
      <c r="X113" s="162"/>
      <c r="Y113" s="162"/>
      <c r="Z113" s="162"/>
    </row>
    <row r="114" spans="1:26" x14ac:dyDescent="0.25">
      <c r="A114" s="238" t="s">
        <v>399</v>
      </c>
      <c r="B114" s="32" t="s">
        <v>400</v>
      </c>
      <c r="E114" s="32">
        <v>1</v>
      </c>
      <c r="O114" s="41">
        <f>C114*Prislapp!$C$2+D114*Prislapp!$D$2+E114*Prislapp!$E$2+F114*Prislapp!$F$2+G114*Prislapp!$G$2+H114*Prislapp!$H$2+I114*Prislapp!$I$2+J114*Prislapp!$J$2+K114*Prislapp!$K$2+L114*Prislapp!$L$2+M114*Prislapp!$M$2+N114*Prislapp!$N$2</f>
        <v>45856</v>
      </c>
      <c r="P114" s="41">
        <f>C114*Prislapp!$C$3+D114*Prislapp!$D$3+E114*Prislapp!$E$3+F114*Prislapp!$F$3+G114*Prislapp!$G$3+H114*Prislapp!$H$3+I114*Prislapp!$I$3+J114*Prislapp!$J$3+K114*Prislapp!$K$3+M114*Prislapp!$M$3+N114*Prislapp!$N$3</f>
        <v>34830</v>
      </c>
      <c r="Q114" s="41">
        <f>C114*Prislapp!$C$5+D114*Prislapp!$D$5+E114*Prislapp!$E$5+F114*Prislapp!$F$5+G114*Prislapp!$G$5+H114*Prislapp!$H$5+I114*Prislapp!$I$5+J114*Prislapp!$J$5+K114*Prislapp!$K$5+L114*Prislapp!$L$5+M114*Prislapp!$M$5+N114*Prislapp!$N$5</f>
        <v>35200</v>
      </c>
      <c r="R114" s="9">
        <f>VLOOKUP(A114,'Ansvar kurs'!$A$3:$B$219,2,FALSE)</f>
        <v>2180</v>
      </c>
      <c r="S114" s="162"/>
      <c r="T114" s="162"/>
      <c r="U114" s="162"/>
      <c r="V114" s="162"/>
      <c r="W114" s="162"/>
      <c r="X114" s="162"/>
      <c r="Y114" s="162"/>
      <c r="Z114" s="162"/>
    </row>
    <row r="115" spans="1:26" x14ac:dyDescent="0.25">
      <c r="A115" s="238" t="s">
        <v>743</v>
      </c>
      <c r="B115" s="32" t="s">
        <v>753</v>
      </c>
      <c r="E115" s="32">
        <v>1</v>
      </c>
      <c r="O115" s="41">
        <f>C115*Prislapp!$C$2+D115*Prislapp!$D$2+E115*Prislapp!$E$2+F115*Prislapp!$F$2+G115*Prislapp!$G$2+H115*Prislapp!$H$2+I115*Prislapp!$I$2+J115*Prislapp!$J$2+K115*Prislapp!$K$2+L115*Prislapp!$L$2+M115*Prislapp!$M$2+N115*Prislapp!$N$2</f>
        <v>45856</v>
      </c>
      <c r="P115" s="41">
        <f>C115*Prislapp!$C$3+D115*Prislapp!$D$3+E115*Prislapp!$E$3+F115*Prislapp!$F$3+G115*Prislapp!$G$3+H115*Prislapp!$H$3+I115*Prislapp!$I$3+J115*Prislapp!$J$3+K115*Prislapp!$K$3+M115*Prislapp!$M$3+N115*Prislapp!$N$3</f>
        <v>34830</v>
      </c>
      <c r="Q115" s="41">
        <f>C115*Prislapp!$C$5+D115*Prislapp!$D$5+E115*Prislapp!$E$5+F115*Prislapp!$F$5+G115*Prislapp!$G$5+H115*Prislapp!$H$5+I115*Prislapp!$I$5+J115*Prislapp!$J$5+K115*Prislapp!$K$5+L115*Prislapp!$L$5+M115*Prislapp!$M$5+N115*Prislapp!$N$5</f>
        <v>35200</v>
      </c>
      <c r="R115" s="9">
        <f>VLOOKUP(A115,'Ansvar kurs'!$A$3:$B$219,2,FALSE)</f>
        <v>2180</v>
      </c>
      <c r="S115" s="162"/>
      <c r="T115" s="162"/>
      <c r="U115" s="162"/>
      <c r="V115" s="162"/>
      <c r="W115" s="162"/>
      <c r="X115" s="162"/>
      <c r="Y115" s="162"/>
      <c r="Z115" s="162"/>
    </row>
    <row r="116" spans="1:26" x14ac:dyDescent="0.25">
      <c r="A116" s="238" t="s">
        <v>865</v>
      </c>
      <c r="B116" s="32" t="s">
        <v>882</v>
      </c>
      <c r="H116" s="32">
        <v>1</v>
      </c>
      <c r="O116" s="41">
        <f>C116*Prislapp!$C$2+D116*Prislapp!$D$2+E116*Prislapp!$E$2+F116*Prislapp!$F$2+G116*Prislapp!$G$2+H116*Prislapp!$H$2+I116*Prislapp!$I$2+J116*Prislapp!$J$2+K116*Prislapp!$K$2+L116*Prislapp!$L$2+M116*Prislapp!$M$2+N116*Prislapp!$N$2</f>
        <v>19863</v>
      </c>
      <c r="P116" s="41">
        <f>C116*Prislapp!$C$3+D116*Prislapp!$D$3+E116*Prislapp!$E$3+F116*Prislapp!$F$3+G116*Prislapp!$G$3+H116*Prislapp!$H$3+I116*Prislapp!$I$3+J116*Prislapp!$J$3+K116*Prislapp!$K$3+M116*Prislapp!$M$3+N116*Prislapp!$N$3</f>
        <v>35472</v>
      </c>
      <c r="Q116" s="41">
        <f>C116*Prislapp!$C$5+D116*Prislapp!$D$5+E116*Prislapp!$E$5+F116*Prislapp!$F$5+G116*Prislapp!$G$5+H116*Prislapp!$H$5+I116*Prislapp!$I$5+J116*Prislapp!$J$5+K116*Prislapp!$K$5+L116*Prislapp!$L$5+M116*Prislapp!$M$5+N116*Prislapp!$N$5</f>
        <v>22200</v>
      </c>
      <c r="R116" s="9">
        <f>VLOOKUP(A116,'Ansvar kurs'!$A$3:$B$219,2,FALSE)</f>
        <v>5740</v>
      </c>
      <c r="S116" s="162"/>
      <c r="T116" s="162"/>
      <c r="U116" s="162"/>
      <c r="V116" s="162"/>
      <c r="W116" s="162"/>
      <c r="X116" s="162"/>
      <c r="Y116" s="162"/>
      <c r="Z116" s="162"/>
    </row>
    <row r="117" spans="1:26" x14ac:dyDescent="0.25">
      <c r="A117" s="238" t="s">
        <v>614</v>
      </c>
      <c r="B117" s="32" t="s">
        <v>639</v>
      </c>
      <c r="H117" s="32">
        <v>1</v>
      </c>
      <c r="O117" s="41">
        <f>C117*Prislapp!$C$2+D117*Prislapp!$D$2+E117*Prislapp!$E$2+F117*Prislapp!$F$2+G117*Prislapp!$G$2+H117*Prislapp!$H$2+I117*Prislapp!$I$2+J117*Prislapp!$J$2+K117*Prislapp!$K$2+L117*Prislapp!$L$2+M117*Prislapp!$M$2+N117*Prislapp!$N$2</f>
        <v>19863</v>
      </c>
      <c r="P117" s="41">
        <f>C117*Prislapp!$C$3+D117*Prislapp!$D$3+E117*Prislapp!$E$3+F117*Prislapp!$F$3+G117*Prislapp!$G$3+H117*Prislapp!$H$3+I117*Prislapp!$I$3+J117*Prislapp!$J$3+K117*Prislapp!$K$3+M117*Prislapp!$M$3+N117*Prislapp!$N$3</f>
        <v>35472</v>
      </c>
      <c r="Q117" s="41">
        <f>C117*Prislapp!$C$5+D117*Prislapp!$D$5+E117*Prislapp!$E$5+F117*Prislapp!$F$5+G117*Prislapp!$G$5+H117*Prislapp!$H$5+I117*Prislapp!$I$5+J117*Prislapp!$J$5+K117*Prislapp!$K$5+L117*Prislapp!$L$5+M117*Prislapp!$M$5+N117*Prislapp!$N$5</f>
        <v>22200</v>
      </c>
      <c r="R117" s="9">
        <f>VLOOKUP(A117,'Ansvar kurs'!$A$3:$B$219,2,FALSE)</f>
        <v>5740</v>
      </c>
      <c r="S117" s="162"/>
      <c r="T117" s="162"/>
      <c r="U117" s="162"/>
      <c r="V117" s="162"/>
      <c r="W117" s="162"/>
      <c r="X117" s="162"/>
      <c r="Y117" s="162"/>
      <c r="Z117" s="162"/>
    </row>
    <row r="118" spans="1:26" x14ac:dyDescent="0.25">
      <c r="A118" s="238" t="s">
        <v>615</v>
      </c>
      <c r="B118" s="32" t="s">
        <v>640</v>
      </c>
      <c r="H118" s="32">
        <v>1</v>
      </c>
      <c r="O118" s="41">
        <f>C118*Prislapp!$C$2+D118*Prislapp!$D$2+E118*Prislapp!$E$2+F118*Prislapp!$F$2+G118*Prislapp!$G$2+H118*Prislapp!$H$2+I118*Prislapp!$I$2+J118*Prislapp!$J$2+K118*Prislapp!$K$2+L118*Prislapp!$L$2+M118*Prislapp!$M$2+N118*Prislapp!$N$2</f>
        <v>19863</v>
      </c>
      <c r="P118" s="41">
        <f>C118*Prislapp!$C$3+D118*Prislapp!$D$3+E118*Prislapp!$E$3+F118*Prislapp!$F$3+G118*Prislapp!$G$3+H118*Prislapp!$H$3+I118*Prislapp!$I$3+J118*Prislapp!$J$3+K118*Prislapp!$K$3+M118*Prislapp!$M$3+N118*Prislapp!$N$3</f>
        <v>35472</v>
      </c>
      <c r="Q118" s="41">
        <f>C118*Prislapp!$C$5+D118*Prislapp!$D$5+E118*Prislapp!$E$5+F118*Prislapp!$F$5+G118*Prislapp!$G$5+H118*Prislapp!$H$5+I118*Prislapp!$I$5+J118*Prislapp!$J$5+K118*Prislapp!$K$5+L118*Prislapp!$L$5+M118*Prislapp!$M$5+N118*Prislapp!$N$5</f>
        <v>22200</v>
      </c>
      <c r="R118" s="9">
        <f>VLOOKUP(A118,'Ansvar kurs'!$A$3:$B$219,2,FALSE)</f>
        <v>5740</v>
      </c>
      <c r="S118" s="162"/>
      <c r="T118" s="162"/>
      <c r="U118" s="162"/>
      <c r="V118" s="162"/>
      <c r="W118" s="162"/>
      <c r="X118" s="162"/>
      <c r="Y118" s="162"/>
      <c r="Z118" s="162"/>
    </row>
    <row r="119" spans="1:26" x14ac:dyDescent="0.25">
      <c r="A119" s="32" t="s">
        <v>384</v>
      </c>
      <c r="B119" s="32" t="s">
        <v>420</v>
      </c>
      <c r="H119" s="32">
        <v>1</v>
      </c>
      <c r="O119" s="41">
        <f>C119*Prislapp!$C$2+D119*Prislapp!$D$2+E119*Prislapp!$E$2+F119*Prislapp!$F$2+G119*Prislapp!$G$2+H119*Prislapp!$H$2+I119*Prislapp!$I$2+J119*Prislapp!$J$2+K119*Prislapp!$K$2+L119*Prislapp!$L$2+M119*Prislapp!$M$2+N119*Prislapp!$N$2</f>
        <v>19863</v>
      </c>
      <c r="P119" s="41">
        <f>C119*Prislapp!$C$3+D119*Prislapp!$D$3+E119*Prislapp!$E$3+F119*Prislapp!$F$3+G119*Prislapp!$G$3+H119*Prislapp!$H$3+I119*Prislapp!$I$3+J119*Prislapp!$J$3+K119*Prislapp!$K$3+M119*Prislapp!$M$3+N119*Prislapp!$N$3</f>
        <v>35472</v>
      </c>
      <c r="Q119" s="41">
        <f>C119*Prislapp!$C$5+D119*Prislapp!$D$5+E119*Prislapp!$E$5+F119*Prislapp!$F$5+G119*Prislapp!$G$5+H119*Prislapp!$H$5+I119*Prislapp!$I$5+J119*Prislapp!$J$5+K119*Prislapp!$K$5+L119*Prislapp!$L$5+M119*Prislapp!$M$5+N119*Prislapp!$N$5</f>
        <v>22200</v>
      </c>
      <c r="R119" s="9">
        <f>VLOOKUP(A119,'Ansvar kurs'!$A$3:$B$219,2,FALSE)</f>
        <v>2650</v>
      </c>
      <c r="S119" s="162"/>
      <c r="T119" s="162"/>
      <c r="U119" s="162"/>
      <c r="V119" s="162"/>
      <c r="W119" s="162"/>
      <c r="X119" s="162"/>
      <c r="Y119" s="162"/>
      <c r="Z119" s="162"/>
    </row>
    <row r="120" spans="1:26" x14ac:dyDescent="0.25">
      <c r="A120" s="32" t="s">
        <v>413</v>
      </c>
      <c r="B120" s="32" t="s">
        <v>421</v>
      </c>
      <c r="H120" s="32">
        <v>1</v>
      </c>
      <c r="O120" s="41">
        <f>C120*Prislapp!$C$2+D120*Prislapp!$D$2+E120*Prislapp!$E$2+F120*Prislapp!$F$2+G120*Prislapp!$G$2+H120*Prislapp!$H$2+I120*Prislapp!$I$2+J120*Prislapp!$J$2+K120*Prislapp!$K$2+L120*Prislapp!$L$2+M120*Prislapp!$M$2+N120*Prislapp!$N$2</f>
        <v>19863</v>
      </c>
      <c r="P120" s="41">
        <f>C120*Prislapp!$C$3+D120*Prislapp!$D$3+E120*Prislapp!$E$3+F120*Prislapp!$F$3+G120*Prislapp!$G$3+H120*Prislapp!$H$3+I120*Prislapp!$I$3+J120*Prislapp!$J$3+K120*Prislapp!$K$3+M120*Prislapp!$M$3+N120*Prislapp!$N$3</f>
        <v>35472</v>
      </c>
      <c r="Q120" s="41">
        <f>C120*Prislapp!$C$5+D120*Prislapp!$D$5+E120*Prislapp!$E$5+F120*Prislapp!$F$5+G120*Prislapp!$G$5+H120*Prislapp!$H$5+I120*Prislapp!$I$5+J120*Prislapp!$J$5+K120*Prislapp!$K$5+L120*Prislapp!$L$5+M120*Prislapp!$M$5+N120*Prislapp!$N$5</f>
        <v>22200</v>
      </c>
      <c r="R120" s="9">
        <f>VLOOKUP(A120,'Ansvar kurs'!$A$3:$B$219,2,FALSE)</f>
        <v>2650</v>
      </c>
      <c r="S120" s="162"/>
      <c r="T120" s="162"/>
      <c r="U120" s="162"/>
      <c r="V120" s="162"/>
      <c r="W120" s="162"/>
      <c r="X120" s="162"/>
      <c r="Y120" s="162"/>
      <c r="Z120" s="162"/>
    </row>
    <row r="121" spans="1:26" x14ac:dyDescent="0.25">
      <c r="A121" s="238" t="s">
        <v>795</v>
      </c>
      <c r="B121" s="32" t="s">
        <v>796</v>
      </c>
      <c r="I121" s="32">
        <v>1</v>
      </c>
      <c r="O121" s="41">
        <f>C121*Prislapp!$C$2+D121*Prislapp!$D$2+E121*Prislapp!$E$2+F121*Prislapp!$F$2+G121*Prislapp!$G$2+H121*Prislapp!$H$2+I121*Prislapp!$I$2+J121*Prislapp!$J$2+K121*Prislapp!$K$2+L121*Prislapp!$L$2+M121*Prislapp!$M$2+N121*Prislapp!$N$2</f>
        <v>19097</v>
      </c>
      <c r="P121" s="41">
        <f>C121*Prislapp!$C$3+D121*Prislapp!$D$3+E121*Prislapp!$E$3+F121*Prislapp!$F$3+G121*Prislapp!$G$3+H121*Prislapp!$H$3+I121*Prislapp!$I$3+J121*Prislapp!$J$3+K121*Prislapp!$K$3+M121*Prislapp!$M$3+N121*Prislapp!$N$3</f>
        <v>16075</v>
      </c>
      <c r="Q121" s="41">
        <f>C121*Prislapp!$C$5+D121*Prislapp!$D$5+E121*Prislapp!$E$5+F121*Prislapp!$F$5+G121*Prislapp!$G$5+H121*Prislapp!$H$5+I121*Prislapp!$I$5+J121*Prislapp!$J$5+K121*Prislapp!$K$5+L121*Prislapp!$L$5+M121*Prislapp!$M$5+N121*Prislapp!$N$5</f>
        <v>5900</v>
      </c>
      <c r="R121" s="9">
        <f>VLOOKUP(A121,'Ansvar kurs'!$A$3:$B$219,2,FALSE)</f>
        <v>2650</v>
      </c>
      <c r="S121"/>
      <c r="T121" s="162"/>
      <c r="U121" s="162"/>
      <c r="V121" s="162"/>
      <c r="W121" s="162"/>
      <c r="X121" s="162"/>
      <c r="Y121" s="162"/>
      <c r="Z121" s="162"/>
    </row>
    <row r="122" spans="1:26" x14ac:dyDescent="0.25">
      <c r="A122" s="238" t="s">
        <v>744</v>
      </c>
      <c r="B122" s="32" t="s">
        <v>754</v>
      </c>
      <c r="H122" s="32">
        <v>1</v>
      </c>
      <c r="O122" s="41">
        <f>C122*Prislapp!$C$2+D122*Prislapp!$D$2+E122*Prislapp!$E$2+F122*Prislapp!$F$2+G122*Prislapp!$G$2+H122*Prislapp!$H$2+I122*Prislapp!$I$2+J122*Prislapp!$J$2+K122*Prislapp!$K$2+L122*Prislapp!$L$2+M122*Prislapp!$M$2+N122*Prislapp!$N$2</f>
        <v>19863</v>
      </c>
      <c r="P122" s="41">
        <f>C122*Prislapp!$C$3+D122*Prislapp!$D$3+E122*Prislapp!$E$3+F122*Prislapp!$F$3+G122*Prislapp!$G$3+H122*Prislapp!$H$3+I122*Prislapp!$I$3+J122*Prislapp!$J$3+K122*Prislapp!$K$3+M122*Prislapp!$M$3+N122*Prislapp!$N$3</f>
        <v>35472</v>
      </c>
      <c r="Q122" s="41">
        <f>C122*Prislapp!$C$5+D122*Prislapp!$D$5+E122*Prislapp!$E$5+F122*Prislapp!$F$5+G122*Prislapp!$G$5+H122*Prislapp!$H$5+I122*Prislapp!$I$5+J122*Prislapp!$J$5+K122*Prislapp!$K$5+L122*Prislapp!$L$5+M122*Prislapp!$M$5+N122*Prislapp!$N$5</f>
        <v>22200</v>
      </c>
      <c r="R122" s="9">
        <f>VLOOKUP(A122,'Ansvar kurs'!$A$3:$B$219,2,FALSE)</f>
        <v>2650</v>
      </c>
      <c r="S122" s="162"/>
      <c r="T122" s="162"/>
      <c r="U122" s="162"/>
      <c r="V122" s="162"/>
      <c r="W122" s="162"/>
      <c r="X122" s="162"/>
      <c r="Y122" s="162"/>
      <c r="Z122" s="162"/>
    </row>
    <row r="123" spans="1:26" x14ac:dyDescent="0.25">
      <c r="A123" s="239" t="s">
        <v>508</v>
      </c>
      <c r="B123" s="59" t="s">
        <v>509</v>
      </c>
      <c r="I123" s="32">
        <v>1</v>
      </c>
      <c r="O123" s="41">
        <f>C123*Prislapp!$C$2+D123*Prislapp!$D$2+E123*Prislapp!$E$2+F123*Prislapp!$F$2+G123*Prislapp!$G$2+H123*Prislapp!$H$2+I123*Prislapp!$I$2+J123*Prislapp!$J$2+K123*Prislapp!$K$2+L123*Prislapp!$L$2+M123*Prislapp!$M$2+N123*Prislapp!$N$2</f>
        <v>19097</v>
      </c>
      <c r="P123" s="41">
        <f>C123*Prislapp!$C$3+D123*Prislapp!$D$3+E123*Prislapp!$E$3+F123*Prislapp!$F$3+G123*Prislapp!$G$3+H123*Prislapp!$H$3+I123*Prislapp!$I$3+J123*Prislapp!$J$3+K123*Prislapp!$K$3+M123*Prislapp!$M$3+N123*Prislapp!$N$3</f>
        <v>16075</v>
      </c>
      <c r="Q123" s="41">
        <f>C123*Prislapp!$C$5+D123*Prislapp!$D$5+E123*Prislapp!$E$5+F123*Prislapp!$F$5+G123*Prislapp!$G$5+H123*Prislapp!$H$5+I123*Prislapp!$I$5+J123*Prislapp!$J$5+K123*Prislapp!$K$5+L123*Prislapp!$L$5+M123*Prislapp!$M$5+N123*Prislapp!$N$5</f>
        <v>5900</v>
      </c>
      <c r="R123" s="9">
        <f>VLOOKUP(A123,'Ansvar kurs'!$A$3:$B$219,2,FALSE)</f>
        <v>2650</v>
      </c>
      <c r="S123" s="162"/>
      <c r="T123" s="162"/>
      <c r="U123" s="162"/>
      <c r="V123" s="162"/>
      <c r="W123" s="162"/>
      <c r="X123" s="162"/>
      <c r="Y123" s="162"/>
      <c r="Z123" s="162"/>
    </row>
    <row r="124" spans="1:26" x14ac:dyDescent="0.25">
      <c r="A124" s="239" t="s">
        <v>778</v>
      </c>
      <c r="B124" s="59" t="s">
        <v>797</v>
      </c>
      <c r="H124" s="32">
        <v>1</v>
      </c>
      <c r="O124" s="41">
        <f>C124*Prislapp!$C$2+D124*Prislapp!$D$2+E124*Prislapp!$E$2+F124*Prislapp!$F$2+G124*Prislapp!$G$2+H124*Prislapp!$H$2+I124*Prislapp!$I$2+J124*Prislapp!$J$2+K124*Prislapp!$K$2+L124*Prislapp!$L$2+M124*Prislapp!$M$2+N124*Prislapp!$N$2</f>
        <v>19863</v>
      </c>
      <c r="P124" s="41">
        <f>C124*Prislapp!$C$3+D124*Prislapp!$D$3+E124*Prislapp!$E$3+F124*Prislapp!$F$3+G124*Prislapp!$G$3+H124*Prislapp!$H$3+I124*Prislapp!$I$3+J124*Prislapp!$J$3+K124*Prislapp!$K$3+M124*Prislapp!$M$3+N124*Prislapp!$N$3</f>
        <v>35472</v>
      </c>
      <c r="Q124" s="41">
        <f>C124*Prislapp!$C$5+D124*Prislapp!$D$5+E124*Prislapp!$E$5+F124*Prislapp!$F$5+G124*Prislapp!$G$5+H124*Prislapp!$H$5+I124*Prislapp!$I$5+J124*Prislapp!$J$5+K124*Prislapp!$K$5+L124*Prislapp!$L$5+M124*Prislapp!$M$5+N124*Prislapp!$N$5</f>
        <v>22200</v>
      </c>
      <c r="R124" s="9">
        <f>VLOOKUP(A124,'Ansvar kurs'!$A$3:$B$219,2,FALSE)</f>
        <v>2650</v>
      </c>
      <c r="T124" s="162"/>
      <c r="U124" s="162"/>
      <c r="V124" s="162"/>
      <c r="W124" s="162"/>
      <c r="X124" s="162"/>
      <c r="Y124" s="162"/>
      <c r="Z124" s="162"/>
    </row>
    <row r="125" spans="1:26" x14ac:dyDescent="0.25">
      <c r="A125" s="239" t="s">
        <v>834</v>
      </c>
      <c r="B125" s="59" t="s">
        <v>847</v>
      </c>
      <c r="H125" s="32">
        <v>1</v>
      </c>
      <c r="O125" s="41">
        <f>C125*Prislapp!$C$2+D125*Prislapp!$D$2+E125*Prislapp!$E$2+F125*Prislapp!$F$2+G125*Prislapp!$G$2+H125*Prislapp!$H$2+I125*Prislapp!$I$2+J125*Prislapp!$J$2+K125*Prislapp!$K$2+L125*Prislapp!$L$2+M125*Prislapp!$M$2+N125*Prislapp!$N$2</f>
        <v>19863</v>
      </c>
      <c r="P125" s="41">
        <f>C125*Prislapp!$C$3+D125*Prislapp!$D$3+E125*Prislapp!$E$3+F125*Prislapp!$F$3+G125*Prislapp!$G$3+H125*Prislapp!$H$3+I125*Prislapp!$I$3+J125*Prislapp!$J$3+K125*Prislapp!$K$3+M125*Prislapp!$M$3+N125*Prislapp!$N$3</f>
        <v>35472</v>
      </c>
      <c r="Q125" s="41">
        <f>C125*Prislapp!$C$5+D125*Prislapp!$D$5+E125*Prislapp!$E$5+F125*Prislapp!$F$5+G125*Prislapp!$G$5+H125*Prislapp!$H$5+I125*Prislapp!$I$5+J125*Prislapp!$J$5+K125*Prislapp!$K$5+L125*Prislapp!$L$5+M125*Prislapp!$M$5+N125*Prislapp!$N$5</f>
        <v>22200</v>
      </c>
      <c r="R125" s="9">
        <f>VLOOKUP(A125,'Ansvar kurs'!$A$3:$B$219,2,FALSE)</f>
        <v>2650</v>
      </c>
      <c r="S125" s="56"/>
      <c r="T125" s="162"/>
      <c r="U125" s="162"/>
      <c r="V125" s="162"/>
      <c r="W125" s="162"/>
      <c r="X125" s="162"/>
      <c r="Y125" s="162"/>
      <c r="Z125" s="162"/>
    </row>
    <row r="126" spans="1:26" x14ac:dyDescent="0.25">
      <c r="A126" s="239" t="s">
        <v>835</v>
      </c>
      <c r="B126" s="59" t="s">
        <v>846</v>
      </c>
      <c r="H126" s="32">
        <v>1</v>
      </c>
      <c r="O126" s="41">
        <f>C126*Prislapp!$C$2+D126*Prislapp!$D$2+E126*Prislapp!$E$2+F126*Prislapp!$F$2+G126*Prislapp!$G$2+H126*Prislapp!$H$2+I126*Prislapp!$I$2+J126*Prislapp!$J$2+K126*Prislapp!$K$2+L126*Prislapp!$L$2+M126*Prislapp!$M$2+N126*Prislapp!$N$2</f>
        <v>19863</v>
      </c>
      <c r="P126" s="41">
        <f>C126*Prislapp!$C$3+D126*Prislapp!$D$3+E126*Prislapp!$E$3+F126*Prislapp!$F$3+G126*Prislapp!$G$3+H126*Prislapp!$H$3+I126*Prislapp!$I$3+J126*Prislapp!$J$3+K126*Prislapp!$K$3+M126*Prislapp!$M$3+N126*Prislapp!$N$3</f>
        <v>35472</v>
      </c>
      <c r="Q126" s="41">
        <f>C126*Prislapp!$C$5+D126*Prislapp!$D$5+E126*Prislapp!$E$5+F126*Prislapp!$F$5+G126*Prislapp!$G$5+H126*Prislapp!$H$5+I126*Prislapp!$I$5+J126*Prislapp!$J$5+K126*Prislapp!$K$5+L126*Prislapp!$L$5+M126*Prislapp!$M$5+N126*Prislapp!$N$5</f>
        <v>22200</v>
      </c>
      <c r="R126" s="9">
        <f>VLOOKUP(A126,'Ansvar kurs'!$A$3:$B$219,2,FALSE)</f>
        <v>2650</v>
      </c>
      <c r="T126" s="162"/>
      <c r="U126" s="162"/>
      <c r="V126" s="162"/>
      <c r="W126" s="162"/>
      <c r="X126" s="162"/>
      <c r="Y126" s="162"/>
      <c r="Z126" s="162"/>
    </row>
    <row r="127" spans="1:26" x14ac:dyDescent="0.25">
      <c r="A127" s="239" t="s">
        <v>922</v>
      </c>
      <c r="B127" s="59" t="s">
        <v>944</v>
      </c>
      <c r="H127" s="32">
        <v>1</v>
      </c>
      <c r="O127" s="41">
        <f>C127*Prislapp!$C$2+D127*Prislapp!$D$2+E127*Prislapp!$E$2+F127*Prislapp!$F$2+G127*Prislapp!$G$2+H127*Prislapp!$H$2+I127*Prislapp!$I$2+J127*Prislapp!$J$2+K127*Prislapp!$K$2+L127*Prislapp!$L$2+M127*Prislapp!$M$2+N127*Prislapp!$N$2</f>
        <v>19863</v>
      </c>
      <c r="P127" s="41">
        <f>C127*Prislapp!$C$3+D127*Prislapp!$D$3+E127*Prislapp!$E$3+F127*Prislapp!$F$3+G127*Prislapp!$G$3+H127*Prislapp!$H$3+I127*Prislapp!$I$3+J127*Prislapp!$J$3+K127*Prislapp!$K$3+M127*Prislapp!$M$3+N127*Prislapp!$N$3</f>
        <v>35472</v>
      </c>
      <c r="Q127" s="41">
        <f>C127*Prislapp!$C$5+D127*Prislapp!$D$5+E127*Prislapp!$E$5+F127*Prislapp!$F$5+G127*Prislapp!$G$5+H127*Prislapp!$H$5+I127*Prislapp!$I$5+J127*Prislapp!$J$5+K127*Prislapp!$K$5+L127*Prislapp!$L$5+M127*Prislapp!$M$5+N127*Prislapp!$N$5</f>
        <v>22200</v>
      </c>
      <c r="R127" s="9">
        <f>VLOOKUP(A127,'Ansvar kurs'!$A$3:$B$219,2,FALSE)</f>
        <v>2650</v>
      </c>
      <c r="T127" s="162"/>
      <c r="U127" s="162"/>
      <c r="V127" s="162"/>
      <c r="W127" s="162"/>
      <c r="X127" s="162"/>
      <c r="Y127" s="162"/>
      <c r="Z127" s="162"/>
    </row>
    <row r="128" spans="1:26" x14ac:dyDescent="0.25">
      <c r="A128" s="239" t="s">
        <v>866</v>
      </c>
      <c r="B128" s="59" t="s">
        <v>883</v>
      </c>
      <c r="I128" s="32">
        <v>1</v>
      </c>
      <c r="O128" s="41">
        <f>C128*Prislapp!$C$2+D128*Prislapp!$D$2+E128*Prislapp!$E$2+F128*Prislapp!$F$2+G128*Prislapp!$G$2+H128*Prislapp!$H$2+I128*Prislapp!$I$2+J128*Prislapp!$J$2+K128*Prislapp!$K$2+L128*Prislapp!$L$2+M128*Prislapp!$M$2+N128*Prislapp!$N$2</f>
        <v>19097</v>
      </c>
      <c r="P128" s="41">
        <f>C128*Prislapp!$C$3+D128*Prislapp!$D$3+E128*Prislapp!$E$3+F128*Prislapp!$F$3+G128*Prislapp!$G$3+H128*Prislapp!$H$3+I128*Prislapp!$I$3+J128*Prislapp!$J$3+K128*Prislapp!$K$3+M128*Prislapp!$M$3+N128*Prislapp!$N$3</f>
        <v>16075</v>
      </c>
      <c r="Q128" s="41">
        <f>C128*Prislapp!$C$5+D128*Prislapp!$D$5+E128*Prislapp!$E$5+F128*Prislapp!$F$5+G128*Prislapp!$G$5+H128*Prislapp!$H$5+I128*Prislapp!$I$5+J128*Prislapp!$J$5+K128*Prislapp!$K$5+L128*Prislapp!$L$5+M128*Prislapp!$M$5+N128*Prislapp!$N$5</f>
        <v>5900</v>
      </c>
      <c r="R128" s="9">
        <f>VLOOKUP(A128,'Ansvar kurs'!$A$3:$B$219,2,FALSE)</f>
        <v>2650</v>
      </c>
      <c r="T128" s="162"/>
      <c r="U128" s="162"/>
      <c r="V128" s="162"/>
      <c r="W128" s="162"/>
      <c r="X128" s="162"/>
      <c r="Y128" s="162"/>
      <c r="Z128" s="162"/>
    </row>
    <row r="129" spans="1:26" x14ac:dyDescent="0.25">
      <c r="A129" s="239" t="s">
        <v>867</v>
      </c>
      <c r="B129" s="59" t="s">
        <v>884</v>
      </c>
      <c r="I129" s="32">
        <v>1</v>
      </c>
      <c r="O129" s="41">
        <f>C129*Prislapp!$C$2+D129*Prislapp!$D$2+E129*Prislapp!$E$2+F129*Prislapp!$F$2+G129*Prislapp!$G$2+H129*Prislapp!$H$2+I129*Prislapp!$I$2+J129*Prislapp!$J$2+K129*Prislapp!$K$2+L129*Prislapp!$L$2+M129*Prislapp!$M$2+N129*Prislapp!$N$2</f>
        <v>19097</v>
      </c>
      <c r="P129" s="41">
        <f>C129*Prislapp!$C$3+D129*Prislapp!$D$3+E129*Prislapp!$E$3+F129*Prislapp!$F$3+G129*Prislapp!$G$3+H129*Prislapp!$H$3+I129*Prislapp!$I$3+J129*Prislapp!$J$3+K129*Prislapp!$K$3+M129*Prislapp!$M$3+N129*Prislapp!$N$3</f>
        <v>16075</v>
      </c>
      <c r="Q129" s="41">
        <f>C129*Prislapp!$C$5+D129*Prislapp!$D$5+E129*Prislapp!$E$5+F129*Prislapp!$F$5+G129*Prislapp!$G$5+H129*Prislapp!$H$5+I129*Prislapp!$I$5+J129*Prislapp!$J$5+K129*Prislapp!$K$5+L129*Prislapp!$L$5+M129*Prislapp!$M$5+N129*Prislapp!$N$5</f>
        <v>5900</v>
      </c>
      <c r="R129" s="9">
        <f>VLOOKUP(A129,'Ansvar kurs'!$A$3:$B$219,2,FALSE)</f>
        <v>2650</v>
      </c>
      <c r="T129" s="162"/>
      <c r="U129" s="162"/>
      <c r="V129" s="162"/>
      <c r="W129" s="162"/>
      <c r="X129" s="162"/>
      <c r="Y129" s="162"/>
      <c r="Z129" s="162"/>
    </row>
    <row r="130" spans="1:26" x14ac:dyDescent="0.25">
      <c r="A130" s="239" t="s">
        <v>868</v>
      </c>
      <c r="B130" s="59" t="s">
        <v>885</v>
      </c>
      <c r="I130" s="32">
        <v>1</v>
      </c>
      <c r="O130" s="41">
        <f>C130*Prislapp!$C$2+D130*Prislapp!$D$2+E130*Prislapp!$E$2+F130*Prislapp!$F$2+G130*Prislapp!$G$2+H130*Prislapp!$H$2+I130*Prislapp!$I$2+J130*Prislapp!$J$2+K130*Prislapp!$K$2+L130*Prislapp!$L$2+M130*Prislapp!$M$2+N130*Prislapp!$N$2</f>
        <v>19097</v>
      </c>
      <c r="P130" s="41">
        <f>C130*Prislapp!$C$3+D130*Prislapp!$D$3+E130*Prislapp!$E$3+F130*Prislapp!$F$3+G130*Prislapp!$G$3+H130*Prislapp!$H$3+I130*Prislapp!$I$3+J130*Prislapp!$J$3+K130*Prislapp!$K$3+M130*Prislapp!$M$3+N130*Prislapp!$N$3</f>
        <v>16075</v>
      </c>
      <c r="Q130" s="41">
        <f>C130*Prislapp!$C$5+D130*Prislapp!$D$5+E130*Prislapp!$E$5+F130*Prislapp!$F$5+G130*Prislapp!$G$5+H130*Prislapp!$H$5+I130*Prislapp!$I$5+J130*Prislapp!$J$5+K130*Prislapp!$K$5+L130*Prislapp!$L$5+M130*Prislapp!$M$5+N130*Prislapp!$N$5</f>
        <v>5900</v>
      </c>
      <c r="R130" s="9">
        <f>VLOOKUP(A130,'Ansvar kurs'!$A$3:$B$219,2,FALSE)</f>
        <v>2650</v>
      </c>
      <c r="T130" s="162"/>
      <c r="U130" s="162"/>
      <c r="V130" s="162"/>
      <c r="W130" s="162"/>
      <c r="X130" s="162"/>
      <c r="Y130" s="162"/>
      <c r="Z130" s="162"/>
    </row>
    <row r="131" spans="1:26" x14ac:dyDescent="0.25">
      <c r="A131" s="239" t="s">
        <v>869</v>
      </c>
      <c r="B131" s="59" t="s">
        <v>886</v>
      </c>
      <c r="G131" s="32">
        <v>1</v>
      </c>
      <c r="O131" s="41">
        <f>C131*Prislapp!$C$2+D131*Prislapp!$D$2+E131*Prislapp!$E$2+F131*Prislapp!$F$2+G131*Prislapp!$G$2+H131*Prislapp!$H$2+I131*Prislapp!$I$2+J131*Prislapp!$J$2+K131*Prislapp!$K$2+L131*Prislapp!$L$2+M131*Prislapp!$M$2+N131*Prislapp!$N$2</f>
        <v>31433</v>
      </c>
      <c r="P131" s="41">
        <f>C131*Prislapp!$C$3+D131*Prislapp!$D$3+E131*Prislapp!$E$3+F131*Prislapp!$F$3+G131*Prislapp!$G$3+H131*Prislapp!$H$3+I131*Prislapp!$I$3+J131*Prislapp!$J$3+K131*Prislapp!$K$3+M131*Prislapp!$M$3+N131*Prislapp!$N$3</f>
        <v>65018</v>
      </c>
      <c r="Q131" s="41">
        <f>C131*Prislapp!$C$5+D131*Prislapp!$D$5+E131*Prislapp!$E$5+F131*Prislapp!$F$5+G131*Prislapp!$G$5+H131*Prislapp!$H$5+I131*Prislapp!$I$5+J131*Prislapp!$J$5+K131*Prislapp!$K$5+L131*Prislapp!$L$5+M131*Prislapp!$M$5+N131*Prislapp!$N$5</f>
        <v>71400</v>
      </c>
      <c r="R131" s="9">
        <f>VLOOKUP(A131,'Ansvar kurs'!$A$3:$B$219,2,FALSE)</f>
        <v>1650</v>
      </c>
      <c r="T131" s="162"/>
      <c r="U131" s="162"/>
      <c r="V131" s="162"/>
      <c r="W131" s="162"/>
      <c r="X131" s="162"/>
      <c r="Y131" s="162"/>
      <c r="Z131" s="162"/>
    </row>
    <row r="132" spans="1:26" x14ac:dyDescent="0.25">
      <c r="A132" s="239" t="s">
        <v>806</v>
      </c>
      <c r="B132" s="32" t="s">
        <v>807</v>
      </c>
      <c r="F132" s="32">
        <v>1</v>
      </c>
      <c r="O132" s="41">
        <f>C132*Prislapp!$C$2+D132*Prislapp!$D$2+E132*Prislapp!$E$2+F132*Prislapp!$F$2+G132*Prislapp!$G$2+H132*Prislapp!$H$2+I132*Prislapp!$I$2+J132*Prislapp!$J$2+K132*Prislapp!$K$2+L132*Prislapp!$L$2+M132*Prislapp!$M$2+N132*Prislapp!$N$2</f>
        <v>24104</v>
      </c>
      <c r="P132" s="41">
        <f>C132*Prislapp!$C$3+D132*Prislapp!$D$3+E132*Prislapp!$E$3+F132*Prislapp!$F$3+G132*Prislapp!$G$3+H132*Prislapp!$H$3+I132*Prislapp!$I$3+J132*Prislapp!$J$3+K132*Prislapp!$K$3+M132*Prislapp!$M$3+N132*Prislapp!$N$3</f>
        <v>31432</v>
      </c>
      <c r="Q132" s="41">
        <f>C132*Prislapp!$C$5+D132*Prislapp!$D$5+E132*Prislapp!$E$5+F132*Prislapp!$F$5+G132*Prislapp!$G$5+H132*Prislapp!$H$5+I132*Prislapp!$I$5+J132*Prislapp!$J$5+K132*Prislapp!$K$5+L132*Prislapp!$L$5+M132*Prislapp!$M$5+N132*Prislapp!$N$5</f>
        <v>5900</v>
      </c>
      <c r="R132" s="9">
        <f>VLOOKUP(A132,'Ansvar kurs'!$A$3:$B$219,2,FALSE)</f>
        <v>1630</v>
      </c>
      <c r="T132" s="162"/>
      <c r="U132" s="162"/>
      <c r="V132" s="162"/>
      <c r="W132" s="162"/>
      <c r="X132" s="162"/>
      <c r="Y132" s="162"/>
      <c r="Z132" s="162"/>
    </row>
    <row r="133" spans="1:26" x14ac:dyDescent="0.25">
      <c r="A133" s="32" t="s">
        <v>498</v>
      </c>
      <c r="B133" s="32" t="s">
        <v>504</v>
      </c>
      <c r="D133" s="32">
        <v>1</v>
      </c>
      <c r="O133" s="41">
        <f>C133*Prislapp!$C$2+D133*Prislapp!$D$2+E133*Prislapp!$E$2+F133*Prislapp!$F$2+G133*Prislapp!$G$2+H133*Prislapp!$H$2+I133*Prislapp!$I$2+J133*Prislapp!$J$2+K133*Prislapp!$K$2+L133*Prislapp!$L$2+M133*Prislapp!$M$2+N133*Prislapp!$N$2</f>
        <v>19097</v>
      </c>
      <c r="P133" s="41">
        <f>C133*Prislapp!$C$3+D133*Prislapp!$D$3+E133*Prislapp!$E$3+F133*Prislapp!$F$3+G133*Prislapp!$G$3+H133*Prislapp!$H$3+I133*Prislapp!$I$3+J133*Prislapp!$J$3+K133*Prislapp!$K$3+M133*Prislapp!$M$3+N133*Prislapp!$N$3</f>
        <v>16075</v>
      </c>
      <c r="Q133" s="41">
        <f>C133*Prislapp!$C$5+D133*Prislapp!$D$5+E133*Prislapp!$E$5+F133*Prislapp!$F$5+G133*Prislapp!$G$5+H133*Prislapp!$H$5+I133*Prislapp!$I$5+J133*Prislapp!$J$5+K133*Prislapp!$K$5+L133*Prislapp!$L$5+M133*Prislapp!$M$5+N133*Prislapp!$N$5</f>
        <v>5900</v>
      </c>
      <c r="R133" s="9">
        <f>VLOOKUP(A133,'Ansvar kurs'!$A$3:$B$219,2,FALSE)</f>
        <v>1640</v>
      </c>
      <c r="U133" s="162"/>
      <c r="V133" s="162"/>
      <c r="W133" s="162"/>
      <c r="X133" s="162"/>
      <c r="Y133" s="162"/>
      <c r="Z133" s="162"/>
    </row>
    <row r="134" spans="1:26" x14ac:dyDescent="0.25">
      <c r="A134" s="32" t="s">
        <v>745</v>
      </c>
      <c r="B134" s="32" t="s">
        <v>755</v>
      </c>
      <c r="D134" s="32">
        <v>1</v>
      </c>
      <c r="O134" s="41">
        <f>C134*Prislapp!$C$2+D134*Prislapp!$D$2+E134*Prislapp!$E$2+F134*Prislapp!$F$2+G134*Prislapp!$G$2+H134*Prislapp!$H$2+I134*Prislapp!$I$2+J134*Prislapp!$J$2+K134*Prislapp!$K$2+L134*Prislapp!$L$2+M134*Prislapp!$M$2+N134*Prislapp!$N$2</f>
        <v>19097</v>
      </c>
      <c r="P134" s="41">
        <f>C134*Prislapp!$C$3+D134*Prislapp!$D$3+E134*Prislapp!$E$3+F134*Prislapp!$F$3+G134*Prislapp!$G$3+H134*Prislapp!$H$3+I134*Prislapp!$I$3+J134*Prislapp!$J$3+K134*Prislapp!$K$3+M134*Prislapp!$M$3+N134*Prislapp!$N$3</f>
        <v>16075</v>
      </c>
      <c r="Q134" s="41">
        <f>C134*Prislapp!$C$5+D134*Prislapp!$D$5+E134*Prislapp!$E$5+F134*Prislapp!$F$5+G134*Prislapp!$G$5+H134*Prislapp!$H$5+I134*Prislapp!$I$5+J134*Prislapp!$J$5+K134*Prislapp!$K$5+L134*Prislapp!$L$5+M134*Prislapp!$M$5+N134*Prislapp!$N$5</f>
        <v>5900</v>
      </c>
      <c r="R134" s="9">
        <f>VLOOKUP(A134,'Ansvar kurs'!$A$3:$B$219,2,FALSE)</f>
        <v>1640</v>
      </c>
      <c r="U134" s="162"/>
      <c r="V134" s="162"/>
      <c r="W134" s="162"/>
      <c r="X134" s="162"/>
      <c r="Y134" s="162"/>
      <c r="Z134" s="162"/>
    </row>
    <row r="135" spans="1:26" x14ac:dyDescent="0.25">
      <c r="A135" s="32" t="s">
        <v>616</v>
      </c>
      <c r="B135" s="32" t="s">
        <v>641</v>
      </c>
      <c r="D135" s="32">
        <v>1</v>
      </c>
      <c r="O135" s="41">
        <f>C135*Prislapp!$C$2+D135*Prislapp!$D$2+E135*Prislapp!$E$2+F135*Prislapp!$F$2+G135*Prislapp!$G$2+H135*Prislapp!$H$2+I135*Prislapp!$I$2+J135*Prislapp!$J$2+K135*Prislapp!$K$2+L135*Prislapp!$L$2+M135*Prislapp!$M$2+N135*Prislapp!$N$2</f>
        <v>19097</v>
      </c>
      <c r="P135" s="41">
        <f>C135*Prislapp!$C$3+D135*Prislapp!$D$3+E135*Prislapp!$E$3+F135*Prislapp!$F$3+G135*Prislapp!$G$3+H135*Prislapp!$H$3+I135*Prislapp!$I$3+J135*Prislapp!$J$3+K135*Prislapp!$K$3+M135*Prislapp!$M$3+N135*Prislapp!$N$3</f>
        <v>16075</v>
      </c>
      <c r="Q135" s="41">
        <f>C135*Prislapp!$C$5+D135*Prislapp!$D$5+E135*Prislapp!$E$5+F135*Prislapp!$F$5+G135*Prislapp!$G$5+H135*Prislapp!$H$5+I135*Prislapp!$I$5+J135*Prislapp!$J$5+K135*Prislapp!$K$5+L135*Prislapp!$L$5+M135*Prislapp!$M$5+N135*Prislapp!$N$5</f>
        <v>5900</v>
      </c>
      <c r="R135" s="9">
        <f>VLOOKUP(A135,'Ansvar kurs'!$A$3:$B$219,2,FALSE)</f>
        <v>1620</v>
      </c>
      <c r="U135" s="162"/>
      <c r="V135" s="162"/>
      <c r="W135" s="162"/>
      <c r="X135" s="162"/>
      <c r="Y135" s="162"/>
      <c r="Z135" s="162"/>
    </row>
    <row r="136" spans="1:26" x14ac:dyDescent="0.25">
      <c r="A136" s="238" t="s">
        <v>471</v>
      </c>
      <c r="B136" s="32" t="s">
        <v>401</v>
      </c>
      <c r="K136" s="32">
        <v>1</v>
      </c>
      <c r="O136" s="41">
        <f>C136*Prislapp!$C$2+D136*Prislapp!$D$2+E136*Prislapp!$E$2+F136*Prislapp!$F$2+G136*Prislapp!$G$2+H136*Prislapp!$H$2+I136*Prislapp!$I$2+J136*Prislapp!$J$2+K136*Prislapp!$K$2+L136*Prislapp!$L$2+M136*Prislapp!$M$2+N136*Prislapp!$N$2</f>
        <v>24740</v>
      </c>
      <c r="P136" s="41">
        <f>C136*Prislapp!$C$3+D136*Prislapp!$D$3+E136*Prislapp!$E$3+F136*Prislapp!$F$3+G136*Prislapp!$G$3+H136*Prislapp!$H$3+I136*Prislapp!$I$3+J136*Prislapp!$J$3+K136*Prislapp!$K$3+M136*Prislapp!$M$3+N136*Prislapp!$N$3</f>
        <v>27503</v>
      </c>
      <c r="Q136" s="41">
        <f>C136*Prislapp!$C$5+D136*Prislapp!$D$5+E136*Prislapp!$E$5+F136*Prislapp!$F$5+G136*Prislapp!$G$5+H136*Prislapp!$H$5+I136*Prislapp!$I$5+J136*Prislapp!$J$5+K136*Prislapp!$K$5+L136*Prislapp!$L$5+M136*Prislapp!$M$5+N136*Prislapp!$N$5</f>
        <v>3500</v>
      </c>
      <c r="R136" s="9">
        <f>VLOOKUP(A136,'Ansvar kurs'!$A$3:$B$219,2,FALSE)</f>
        <v>1620</v>
      </c>
      <c r="U136" s="162"/>
      <c r="V136" s="162"/>
      <c r="W136" s="162"/>
      <c r="X136" s="162"/>
      <c r="Y136" s="162"/>
      <c r="Z136" s="162"/>
    </row>
    <row r="137" spans="1:26" x14ac:dyDescent="0.25">
      <c r="A137" s="238" t="s">
        <v>642</v>
      </c>
      <c r="B137" s="32" t="s">
        <v>643</v>
      </c>
      <c r="D137" s="32">
        <v>1</v>
      </c>
      <c r="O137" s="41">
        <f>C137*Prislapp!$C$2+D137*Prislapp!$D$2+E137*Prislapp!$E$2+F137*Prislapp!$F$2+G137*Prislapp!$G$2+H137*Prislapp!$H$2+I137*Prislapp!$I$2+J137*Prislapp!$J$2+K137*Prislapp!$K$2+L137*Prislapp!$L$2+M137*Prislapp!$M$2+N137*Prislapp!$N$2</f>
        <v>19097</v>
      </c>
      <c r="P137" s="41">
        <f>C137*Prislapp!$C$3+D137*Prislapp!$D$3+E137*Prislapp!$E$3+F137*Prislapp!$F$3+G137*Prislapp!$G$3+H137*Prislapp!$H$3+I137*Prislapp!$I$3+J137*Prislapp!$J$3+K137*Prislapp!$K$3+M137*Prislapp!$M$3+N137*Prislapp!$N$3</f>
        <v>16075</v>
      </c>
      <c r="Q137" s="41">
        <f>C137*Prislapp!$C$5+D137*Prislapp!$D$5+E137*Prislapp!$E$5+F137*Prislapp!$F$5+G137*Prislapp!$G$5+H137*Prislapp!$H$5+I137*Prislapp!$I$5+J137*Prislapp!$J$5+K137*Prislapp!$K$5+L137*Prislapp!$L$5+M137*Prislapp!$M$5+N137*Prislapp!$N$5</f>
        <v>5900</v>
      </c>
      <c r="R137" s="9">
        <f>VLOOKUP(A137,'Ansvar kurs'!$A$3:$B$219,2,FALSE)</f>
        <v>1620</v>
      </c>
      <c r="U137" s="162"/>
      <c r="V137" s="162"/>
      <c r="W137" s="162"/>
      <c r="X137" s="162"/>
      <c r="Y137" s="162"/>
      <c r="Z137" s="162"/>
    </row>
    <row r="138" spans="1:26" x14ac:dyDescent="0.25">
      <c r="A138" s="238" t="s">
        <v>617</v>
      </c>
      <c r="B138" s="32" t="s">
        <v>644</v>
      </c>
      <c r="D138" s="32">
        <v>1</v>
      </c>
      <c r="O138" s="41">
        <f>C138*Prislapp!$C$2+D138*Prislapp!$D$2+E138*Prislapp!$E$2+F138*Prislapp!$F$2+G138*Prislapp!$G$2+H138*Prislapp!$H$2+I138*Prislapp!$I$2+J138*Prislapp!$J$2+K138*Prislapp!$K$2+L138*Prislapp!$L$2+M138*Prislapp!$M$2+N138*Prislapp!$N$2</f>
        <v>19097</v>
      </c>
      <c r="P138" s="41">
        <f>C138*Prislapp!$C$3+D138*Prislapp!$D$3+E138*Prislapp!$E$3+F138*Prislapp!$F$3+G138*Prislapp!$G$3+H138*Prislapp!$H$3+I138*Prislapp!$I$3+J138*Prislapp!$J$3+K138*Prislapp!$K$3+M138*Prislapp!$M$3+N138*Prislapp!$N$3</f>
        <v>16075</v>
      </c>
      <c r="Q138" s="41">
        <f>C138*Prislapp!$C$5+D138*Prislapp!$D$5+E138*Prislapp!$E$5+F138*Prislapp!$F$5+G138*Prislapp!$G$5+H138*Prislapp!$H$5+I138*Prislapp!$I$5+J138*Prislapp!$J$5+K138*Prislapp!$K$5+L138*Prislapp!$L$5+M138*Prislapp!$M$5+N138*Prislapp!$N$5</f>
        <v>5900</v>
      </c>
      <c r="R138" s="9">
        <f>VLOOKUP(A138,'Ansvar kurs'!$A$3:$B$219,2,FALSE)</f>
        <v>1620</v>
      </c>
      <c r="U138" s="162"/>
      <c r="V138" s="162"/>
      <c r="W138" s="162"/>
      <c r="X138" s="162"/>
      <c r="Y138" s="162"/>
      <c r="Z138" s="162"/>
    </row>
    <row r="139" spans="1:26" x14ac:dyDescent="0.25">
      <c r="A139" s="239" t="s">
        <v>592</v>
      </c>
      <c r="B139" s="32" t="s">
        <v>595</v>
      </c>
      <c r="H139" s="32">
        <v>1</v>
      </c>
      <c r="O139" s="41">
        <f>C139*Prislapp!$C$2+D139*Prislapp!$D$2+E139*Prislapp!$E$2+F139*Prislapp!$F$2+G139*Prislapp!$G$2+H139*Prislapp!$H$2+I139*Prislapp!$I$2+J139*Prislapp!$J$2+K139*Prislapp!$K$2+L139*Prislapp!$L$2+M139*Prislapp!$M$2+N139*Prislapp!$N$2</f>
        <v>19863</v>
      </c>
      <c r="P139" s="41">
        <f>C139*Prislapp!$C$3+D139*Prislapp!$D$3+E139*Prislapp!$E$3+F139*Prislapp!$F$3+G139*Prislapp!$G$3+H139*Prislapp!$H$3+I139*Prislapp!$I$3+J139*Prislapp!$J$3+K139*Prislapp!$K$3+M139*Prislapp!$M$3+N139*Prislapp!$N$3</f>
        <v>35472</v>
      </c>
      <c r="Q139" s="41">
        <f>C139*Prislapp!$C$5+D139*Prislapp!$D$5+E139*Prislapp!$E$5+F139*Prislapp!$F$5+G139*Prislapp!$G$5+H139*Prislapp!$H$5+I139*Prislapp!$I$5+J139*Prislapp!$J$5+K139*Prislapp!$K$5+L139*Prislapp!$L$5+M139*Prislapp!$M$5+N139*Prislapp!$N$5</f>
        <v>22200</v>
      </c>
      <c r="R139" s="9">
        <f>VLOOKUP(A139,'Ansvar kurs'!$A$3:$B$219,2,FALSE)</f>
        <v>5730</v>
      </c>
      <c r="U139" s="162"/>
      <c r="V139" s="162"/>
      <c r="W139" s="162"/>
      <c r="X139" s="162"/>
      <c r="Y139" s="162"/>
      <c r="Z139" s="162"/>
    </row>
    <row r="140" spans="1:26" x14ac:dyDescent="0.25">
      <c r="A140" s="239" t="s">
        <v>618</v>
      </c>
      <c r="B140" s="32" t="s">
        <v>645</v>
      </c>
      <c r="H140" s="32">
        <v>1</v>
      </c>
      <c r="O140" s="41">
        <f>C140*Prislapp!$C$2+D140*Prislapp!$D$2+E140*Prislapp!$E$2+F140*Prislapp!$F$2+G140*Prislapp!$G$2+H140*Prislapp!$H$2+I140*Prislapp!$I$2+J140*Prislapp!$J$2+K140*Prislapp!$K$2+L140*Prislapp!$L$2+M140*Prislapp!$M$2+N140*Prislapp!$N$2</f>
        <v>19863</v>
      </c>
      <c r="P140" s="41">
        <f>C140*Prislapp!$C$3+D140*Prislapp!$D$3+E140*Prislapp!$E$3+F140*Prislapp!$F$3+G140*Prislapp!$G$3+H140*Prislapp!$H$3+I140*Prislapp!$I$3+J140*Prislapp!$J$3+K140*Prislapp!$K$3+M140*Prislapp!$M$3+N140*Prislapp!$N$3</f>
        <v>35472</v>
      </c>
      <c r="Q140" s="41">
        <f>C140*Prislapp!$C$5+D140*Prislapp!$D$5+E140*Prislapp!$E$5+F140*Prislapp!$F$5+G140*Prislapp!$G$5+H140*Prislapp!$H$5+I140*Prislapp!$I$5+J140*Prislapp!$J$5+K140*Prislapp!$K$5+L140*Prislapp!$L$5+M140*Prislapp!$M$5+N140*Prislapp!$N$5</f>
        <v>22200</v>
      </c>
      <c r="R140" s="9">
        <f>VLOOKUP(A140,'Ansvar kurs'!$A$3:$B$219,2,FALSE)</f>
        <v>5730</v>
      </c>
      <c r="U140" s="162"/>
      <c r="V140" s="162"/>
      <c r="W140" s="162"/>
      <c r="X140" s="162"/>
      <c r="Y140" s="162"/>
      <c r="Z140" s="162"/>
    </row>
    <row r="141" spans="1:26" x14ac:dyDescent="0.25">
      <c r="A141" s="239" t="s">
        <v>619</v>
      </c>
      <c r="B141" s="32" t="s">
        <v>646</v>
      </c>
      <c r="H141" s="32">
        <v>1</v>
      </c>
      <c r="O141" s="41">
        <f>C141*Prislapp!$C$2+D141*Prislapp!$D$2+E141*Prislapp!$E$2+F141*Prislapp!$F$2+G141*Prislapp!$G$2+H141*Prislapp!$H$2+I141*Prislapp!$I$2+J141*Prislapp!$J$2+K141*Prislapp!$K$2+L141*Prislapp!$L$2+M141*Prislapp!$M$2+N141*Prislapp!$N$2</f>
        <v>19863</v>
      </c>
      <c r="P141" s="41">
        <f>C141*Prislapp!$C$3+D141*Prislapp!$D$3+E141*Prislapp!$E$3+F141*Prislapp!$F$3+G141*Prislapp!$G$3+H141*Prislapp!$H$3+I141*Prislapp!$I$3+J141*Prislapp!$J$3+K141*Prislapp!$K$3+M141*Prislapp!$M$3+N141*Prislapp!$N$3</f>
        <v>35472</v>
      </c>
      <c r="Q141" s="41">
        <f>C141*Prislapp!$C$5+D141*Prislapp!$D$5+E141*Prislapp!$E$5+F141*Prislapp!$F$5+G141*Prislapp!$G$5+H141*Prislapp!$H$5+I141*Prislapp!$I$5+J141*Prislapp!$J$5+K141*Prislapp!$K$5+L141*Prislapp!$L$5+M141*Prislapp!$M$5+N141*Prislapp!$N$5</f>
        <v>22200</v>
      </c>
      <c r="R141" s="9">
        <f>VLOOKUP(A141,'Ansvar kurs'!$A$3:$B$219,2,FALSE)</f>
        <v>5730</v>
      </c>
      <c r="U141" s="162"/>
      <c r="V141" s="162"/>
      <c r="W141" s="162"/>
      <c r="X141" s="162"/>
      <c r="Y141" s="162"/>
      <c r="Z141" s="162"/>
    </row>
    <row r="142" spans="1:26" x14ac:dyDescent="0.25">
      <c r="A142" s="239" t="s">
        <v>713</v>
      </c>
      <c r="B142" s="32" t="s">
        <v>725</v>
      </c>
      <c r="H142" s="32">
        <v>1</v>
      </c>
      <c r="O142" s="41">
        <f>C142*Prislapp!$C$2+D142*Prislapp!$D$2+E142*Prislapp!$E$2+F142*Prislapp!$F$2+G142*Prislapp!$G$2+H142*Prislapp!$H$2+I142*Prislapp!$I$2+J142*Prislapp!$J$2+K142*Prislapp!$K$2+L142*Prislapp!$L$2+M142*Prislapp!$M$2+N142*Prislapp!$N$2</f>
        <v>19863</v>
      </c>
      <c r="P142" s="41">
        <f>C142*Prislapp!$C$3+D142*Prislapp!$D$3+E142*Prislapp!$E$3+F142*Prislapp!$F$3+G142*Prislapp!$G$3+H142*Prislapp!$H$3+I142*Prislapp!$I$3+J142*Prislapp!$J$3+K142*Prislapp!$K$3+M142*Prislapp!$M$3+N142*Prislapp!$N$3</f>
        <v>35472</v>
      </c>
      <c r="Q142" s="41">
        <f>C142*Prislapp!$C$5+D142*Prislapp!$D$5+E142*Prislapp!$E$5+F142*Prislapp!$F$5+G142*Prislapp!$G$5+H142*Prislapp!$H$5+I142*Prislapp!$I$5+J142*Prislapp!$J$5+K142*Prislapp!$K$5+L142*Prislapp!$L$5+M142*Prislapp!$M$5+N142*Prislapp!$N$5</f>
        <v>22200</v>
      </c>
      <c r="R142" s="9">
        <f>VLOOKUP(A142,'Ansvar kurs'!$A$3:$B$219,2,FALSE)</f>
        <v>5730</v>
      </c>
      <c r="U142" s="162"/>
      <c r="V142" s="162"/>
      <c r="W142" s="162"/>
      <c r="X142" s="162"/>
      <c r="Y142" s="162"/>
      <c r="Z142" s="162"/>
    </row>
    <row r="143" spans="1:26" x14ac:dyDescent="0.25">
      <c r="A143" s="239" t="s">
        <v>779</v>
      </c>
      <c r="B143" s="32" t="s">
        <v>798</v>
      </c>
      <c r="H143" s="32">
        <v>1</v>
      </c>
      <c r="O143" s="41">
        <f>C143*Prislapp!$C$2+D143*Prislapp!$D$2+E143*Prislapp!$E$2+F143*Prislapp!$F$2+G143*Prislapp!$G$2+H143*Prislapp!$H$2+I143*Prislapp!$I$2+J143*Prislapp!$J$2+K143*Prislapp!$K$2+L143*Prislapp!$L$2+M143*Prislapp!$M$2+N143*Prislapp!$N$2</f>
        <v>19863</v>
      </c>
      <c r="P143" s="41">
        <f>C143*Prislapp!$C$3+D143*Prislapp!$D$3+E143*Prislapp!$E$3+F143*Prislapp!$F$3+G143*Prislapp!$G$3+H143*Prislapp!$H$3+I143*Prislapp!$I$3+J143*Prislapp!$J$3+K143*Prislapp!$K$3+M143*Prislapp!$M$3+N143*Prislapp!$N$3</f>
        <v>35472</v>
      </c>
      <c r="Q143" s="41">
        <f>C143*Prislapp!$C$5+D143*Prislapp!$D$5+E143*Prislapp!$E$5+F143*Prislapp!$F$5+G143*Prislapp!$G$5+H143*Prislapp!$H$5+I143*Prislapp!$I$5+J143*Prislapp!$J$5+K143*Prislapp!$K$5+L143*Prislapp!$L$5+M143*Prislapp!$M$5+N143*Prislapp!$N$5</f>
        <v>22200</v>
      </c>
      <c r="R143" s="9">
        <f>VLOOKUP(A143,'Ansvar kurs'!$A$3:$B$219,2,FALSE)</f>
        <v>5730</v>
      </c>
      <c r="U143" s="162"/>
      <c r="V143" s="162"/>
      <c r="W143" s="162"/>
      <c r="X143" s="162"/>
      <c r="Y143" s="162"/>
      <c r="Z143" s="162"/>
    </row>
    <row r="144" spans="1:26" x14ac:dyDescent="0.25">
      <c r="A144" s="239" t="s">
        <v>780</v>
      </c>
      <c r="B144" s="32" t="s">
        <v>799</v>
      </c>
      <c r="H144" s="32">
        <v>1</v>
      </c>
      <c r="O144" s="41">
        <f>C144*Prislapp!$C$2+D144*Prislapp!$D$2+E144*Prislapp!$E$2+F144*Prislapp!$F$2+G144*Prislapp!$G$2+H144*Prislapp!$H$2+I144*Prislapp!$I$2+J144*Prislapp!$J$2+K144*Prislapp!$K$2+L144*Prislapp!$L$2+M144*Prislapp!$M$2+N144*Prislapp!$N$2</f>
        <v>19863</v>
      </c>
      <c r="P144" s="41">
        <f>C144*Prislapp!$C$3+D144*Prislapp!$D$3+E144*Prislapp!$E$3+F144*Prislapp!$F$3+G144*Prislapp!$G$3+H144*Prislapp!$H$3+I144*Prislapp!$I$3+J144*Prislapp!$J$3+K144*Prislapp!$K$3+M144*Prislapp!$M$3+N144*Prislapp!$N$3</f>
        <v>35472</v>
      </c>
      <c r="Q144" s="41">
        <f>C144*Prislapp!$C$5+D144*Prislapp!$D$5+E144*Prislapp!$E$5+F144*Prislapp!$F$5+G144*Prislapp!$G$5+H144*Prislapp!$H$5+I144*Prislapp!$I$5+J144*Prislapp!$J$5+K144*Prislapp!$K$5+L144*Prislapp!$L$5+M144*Prislapp!$M$5+N144*Prislapp!$N$5</f>
        <v>22200</v>
      </c>
      <c r="R144" s="9">
        <f>VLOOKUP(A144,'Ansvar kurs'!$A$3:$B$219,2,FALSE)</f>
        <v>5730</v>
      </c>
      <c r="U144" s="162"/>
      <c r="V144" s="162"/>
      <c r="W144" s="162"/>
      <c r="X144" s="162"/>
      <c r="Y144" s="162"/>
      <c r="Z144" s="162"/>
    </row>
    <row r="145" spans="1:26" x14ac:dyDescent="0.25">
      <c r="A145" s="239" t="s">
        <v>781</v>
      </c>
      <c r="B145" s="32" t="s">
        <v>800</v>
      </c>
      <c r="H145" s="32">
        <v>0.5</v>
      </c>
      <c r="I145" s="32">
        <v>0.5</v>
      </c>
      <c r="O145" s="41">
        <f>C145*Prislapp!$C$2+D145*Prislapp!$D$2+E145*Prislapp!$E$2+F145*Prislapp!$F$2+G145*Prislapp!$G$2+H145*Prislapp!$H$2+I145*Prislapp!$I$2+J145*Prislapp!$J$2+K145*Prislapp!$K$2+L145*Prislapp!$L$2+M145*Prislapp!$M$2+N145*Prislapp!$N$2</f>
        <v>19480</v>
      </c>
      <c r="P145" s="41">
        <f>C145*Prislapp!$C$3+D145*Prislapp!$D$3+E145*Prislapp!$E$3+F145*Prislapp!$F$3+G145*Prislapp!$G$3+H145*Prislapp!$H$3+I145*Prislapp!$I$3+J145*Prislapp!$J$3+K145*Prislapp!$K$3+M145*Prislapp!$M$3+N145*Prislapp!$N$3</f>
        <v>25773.5</v>
      </c>
      <c r="Q145" s="41">
        <f>C145*Prislapp!$C$5+D145*Prislapp!$D$5+E145*Prislapp!$E$5+F145*Prislapp!$F$5+G145*Prislapp!$G$5+H145*Prislapp!$H$5+I145*Prislapp!$I$5+J145*Prislapp!$J$5+K145*Prislapp!$K$5+L145*Prislapp!$L$5+M145*Prislapp!$M$5+N145*Prislapp!$N$5</f>
        <v>14050</v>
      </c>
      <c r="R145" s="9">
        <f>VLOOKUP(A145,'Ansvar kurs'!$A$3:$B$219,2,FALSE)</f>
        <v>5730</v>
      </c>
      <c r="U145" s="162"/>
      <c r="V145" s="162"/>
      <c r="W145" s="162"/>
      <c r="X145" s="162"/>
      <c r="Y145" s="162"/>
      <c r="Z145" s="162"/>
    </row>
    <row r="146" spans="1:26" x14ac:dyDescent="0.25">
      <c r="A146" s="239" t="s">
        <v>782</v>
      </c>
      <c r="B146" s="32" t="s">
        <v>801</v>
      </c>
      <c r="H146" s="32">
        <v>1</v>
      </c>
      <c r="O146" s="41">
        <f>C146*Prislapp!$C$2+D146*Prislapp!$D$2+E146*Prislapp!$E$2+F146*Prislapp!$F$2+G146*Prislapp!$G$2+H146*Prislapp!$H$2+I146*Prislapp!$I$2+J146*Prislapp!$J$2+K146*Prislapp!$K$2+L146*Prislapp!$L$2+M146*Prislapp!$M$2+N146*Prislapp!$N$2</f>
        <v>19863</v>
      </c>
      <c r="P146" s="41">
        <f>C146*Prislapp!$C$3+D146*Prislapp!$D$3+E146*Prislapp!$E$3+F146*Prislapp!$F$3+G146*Prislapp!$G$3+H146*Prislapp!$H$3+I146*Prislapp!$I$3+J146*Prislapp!$J$3+K146*Prislapp!$K$3+M146*Prislapp!$M$3+N146*Prislapp!$N$3</f>
        <v>35472</v>
      </c>
      <c r="Q146" s="41">
        <f>C146*Prislapp!$C$5+D146*Prislapp!$D$5+E146*Prislapp!$E$5+F146*Prislapp!$F$5+G146*Prislapp!$G$5+H146*Prislapp!$H$5+I146*Prislapp!$I$5+J146*Prislapp!$J$5+K146*Prislapp!$K$5+L146*Prislapp!$L$5+M146*Prislapp!$M$5+N146*Prislapp!$N$5</f>
        <v>22200</v>
      </c>
      <c r="R146" s="9">
        <f>VLOOKUP(A146,'Ansvar kurs'!$A$3:$B$219,2,FALSE)</f>
        <v>5730</v>
      </c>
      <c r="U146" s="162"/>
      <c r="V146" s="162"/>
      <c r="W146" s="162"/>
      <c r="X146" s="162"/>
      <c r="Y146" s="162"/>
      <c r="Z146" s="162"/>
    </row>
    <row r="147" spans="1:26" x14ac:dyDescent="0.25">
      <c r="A147" s="239" t="s">
        <v>783</v>
      </c>
      <c r="B147" s="32" t="s">
        <v>802</v>
      </c>
      <c r="H147" s="32">
        <v>0.5</v>
      </c>
      <c r="J147" s="32">
        <v>0.5</v>
      </c>
      <c r="O147" s="41">
        <f>C147*Prislapp!$C$2+D147*Prislapp!$D$2+E147*Prislapp!$E$2+F147*Prislapp!$F$2+G147*Prislapp!$G$2+H147*Prislapp!$H$2+I147*Prislapp!$I$2+J147*Prislapp!$J$2+K147*Prislapp!$K$2+L147*Prislapp!$L$2+M147*Prislapp!$M$2+N147*Prislapp!$N$2</f>
        <v>19863</v>
      </c>
      <c r="P147" s="41">
        <f>C147*Prislapp!$C$3+D147*Prislapp!$D$3+E147*Prislapp!$E$3+F147*Prislapp!$F$3+G147*Prislapp!$G$3+H147*Prislapp!$H$3+I147*Prislapp!$I$3+J147*Prislapp!$J$3+K147*Prislapp!$K$3+M147*Prislapp!$M$3+N147*Prislapp!$N$3</f>
        <v>35472</v>
      </c>
      <c r="Q147" s="41">
        <f>C147*Prislapp!$C$5+D147*Prislapp!$D$5+E147*Prislapp!$E$5+F147*Prislapp!$F$5+G147*Prislapp!$G$5+H147*Prislapp!$H$5+I147*Prislapp!$I$5+J147*Prislapp!$J$5+K147*Prislapp!$K$5+L147*Prislapp!$L$5+M147*Prislapp!$M$5+N147*Prislapp!$N$5</f>
        <v>22200</v>
      </c>
      <c r="R147" s="9">
        <f>VLOOKUP(A147,'Ansvar kurs'!$A$3:$B$219,2,FALSE)</f>
        <v>5730</v>
      </c>
      <c r="U147" s="162"/>
      <c r="V147" s="162"/>
      <c r="W147" s="162"/>
      <c r="X147" s="162"/>
      <c r="Y147" s="162"/>
      <c r="Z147" s="162"/>
    </row>
    <row r="148" spans="1:26" x14ac:dyDescent="0.25">
      <c r="A148" s="239" t="s">
        <v>870</v>
      </c>
      <c r="B148" s="32" t="s">
        <v>887</v>
      </c>
      <c r="H148" s="32">
        <v>0.5</v>
      </c>
      <c r="J148" s="32">
        <v>0.5</v>
      </c>
      <c r="O148" s="41">
        <f>C148*Prislapp!$C$2+D148*Prislapp!$D$2+E148*Prislapp!$E$2+F148*Prislapp!$F$2+G148*Prislapp!$G$2+H148*Prislapp!$H$2+I148*Prislapp!$I$2+J148*Prislapp!$J$2+K148*Prislapp!$K$2+L148*Prislapp!$L$2+M148*Prislapp!$M$2+N148*Prislapp!$N$2</f>
        <v>19863</v>
      </c>
      <c r="P148" s="41">
        <f>C148*Prislapp!$C$3+D148*Prislapp!$D$3+E148*Prislapp!$E$3+F148*Prislapp!$F$3+G148*Prislapp!$G$3+H148*Prislapp!$H$3+I148*Prislapp!$I$3+J148*Prislapp!$J$3+K148*Prislapp!$K$3+M148*Prislapp!$M$3+N148*Prislapp!$N$3</f>
        <v>35472</v>
      </c>
      <c r="Q148" s="41">
        <f>C148*Prislapp!$C$5+D148*Prislapp!$D$5+E148*Prislapp!$E$5+F148*Prislapp!$F$5+G148*Prislapp!$G$5+H148*Prislapp!$H$5+I148*Prislapp!$I$5+J148*Prislapp!$J$5+K148*Prislapp!$K$5+L148*Prislapp!$L$5+M148*Prislapp!$M$5+N148*Prislapp!$N$5</f>
        <v>22200</v>
      </c>
      <c r="R148" s="9">
        <f>VLOOKUP(A148,'Ansvar kurs'!$A$3:$B$219,2,FALSE)</f>
        <v>5730</v>
      </c>
      <c r="U148" s="162"/>
      <c r="V148" s="162"/>
      <c r="W148" s="162"/>
      <c r="X148" s="162"/>
      <c r="Y148" s="162"/>
      <c r="Z148" s="162"/>
    </row>
    <row r="149" spans="1:26" x14ac:dyDescent="0.25">
      <c r="A149" s="239" t="s">
        <v>784</v>
      </c>
      <c r="B149" s="32" t="s">
        <v>803</v>
      </c>
      <c r="H149" s="32">
        <v>0.5</v>
      </c>
      <c r="J149" s="32">
        <v>0.5</v>
      </c>
      <c r="O149" s="41">
        <f>C149*Prislapp!$C$2+D149*Prislapp!$D$2+E149*Prislapp!$E$2+F149*Prislapp!$F$2+G149*Prislapp!$G$2+H149*Prislapp!$H$2+I149*Prislapp!$I$2+J149*Prislapp!$J$2+K149*Prislapp!$K$2+L149*Prislapp!$L$2+M149*Prislapp!$M$2+N149*Prislapp!$N$2</f>
        <v>19863</v>
      </c>
      <c r="P149" s="41">
        <f>C149*Prislapp!$C$3+D149*Prislapp!$D$3+E149*Prislapp!$E$3+F149*Prislapp!$F$3+G149*Prislapp!$G$3+H149*Prislapp!$H$3+I149*Prislapp!$I$3+J149*Prislapp!$J$3+K149*Prislapp!$K$3+M149*Prislapp!$M$3+N149*Prislapp!$N$3</f>
        <v>35472</v>
      </c>
      <c r="Q149" s="41">
        <f>C149*Prislapp!$C$5+D149*Prislapp!$D$5+E149*Prislapp!$E$5+F149*Prislapp!$F$5+G149*Prislapp!$G$5+H149*Prislapp!$H$5+I149*Prislapp!$I$5+J149*Prislapp!$J$5+K149*Prislapp!$K$5+L149*Prislapp!$L$5+M149*Prislapp!$M$5+N149*Prislapp!$N$5</f>
        <v>22200</v>
      </c>
      <c r="R149" s="9">
        <f>VLOOKUP(A149,'Ansvar kurs'!$A$3:$B$219,2,FALSE)</f>
        <v>5730</v>
      </c>
      <c r="U149" s="162"/>
      <c r="V149" s="162"/>
      <c r="W149" s="162"/>
      <c r="X149" s="162"/>
      <c r="Y149" s="162"/>
      <c r="Z149" s="162"/>
    </row>
    <row r="150" spans="1:26" x14ac:dyDescent="0.25">
      <c r="A150" s="239" t="s">
        <v>746</v>
      </c>
      <c r="B150" s="32" t="s">
        <v>756</v>
      </c>
      <c r="H150" s="32">
        <v>0.5</v>
      </c>
      <c r="J150" s="32">
        <v>0.5</v>
      </c>
      <c r="O150" s="41">
        <f>C150*Prislapp!$C$2+D150*Prislapp!$D$2+E150*Prislapp!$E$2+F150*Prislapp!$F$2+G150*Prislapp!$G$2+H150*Prislapp!$H$2+I150*Prislapp!$I$2+J150*Prislapp!$J$2+K150*Prislapp!$K$2+L150*Prislapp!$L$2+M150*Prislapp!$M$2+N150*Prislapp!$N$2</f>
        <v>19863</v>
      </c>
      <c r="P150" s="41">
        <f>C150*Prislapp!$C$3+D150*Prislapp!$D$3+E150*Prislapp!$E$3+F150*Prislapp!$F$3+G150*Prislapp!$G$3+H150*Prislapp!$H$3+I150*Prislapp!$I$3+J150*Prislapp!$J$3+K150*Prislapp!$K$3+M150*Prislapp!$M$3+N150*Prislapp!$N$3</f>
        <v>35472</v>
      </c>
      <c r="Q150" s="41">
        <f>C150*Prislapp!$C$5+D150*Prislapp!$D$5+E150*Prislapp!$E$5+F150*Prislapp!$F$5+G150*Prislapp!$G$5+H150*Prislapp!$H$5+I150*Prislapp!$I$5+J150*Prislapp!$J$5+K150*Prislapp!$K$5+L150*Prislapp!$L$5+M150*Prislapp!$M$5+N150*Prislapp!$N$5</f>
        <v>22200</v>
      </c>
      <c r="R150" s="9">
        <f>VLOOKUP(A150,'Ansvar kurs'!$A$3:$B$219,2,FALSE)</f>
        <v>5730</v>
      </c>
      <c r="U150" s="162"/>
      <c r="V150" s="162"/>
      <c r="W150" s="162"/>
      <c r="X150" s="162"/>
      <c r="Y150" s="162"/>
      <c r="Z150" s="162"/>
    </row>
    <row r="151" spans="1:26" x14ac:dyDescent="0.25">
      <c r="A151" s="239" t="s">
        <v>714</v>
      </c>
      <c r="B151" s="32" t="s">
        <v>726</v>
      </c>
      <c r="H151" s="32">
        <v>1</v>
      </c>
      <c r="O151" s="41">
        <f>C151*Prislapp!$C$2+D151*Prislapp!$D$2+E151*Prislapp!$E$2+F151*Prislapp!$F$2+G151*Prislapp!$G$2+H151*Prislapp!$H$2+I151*Prislapp!$I$2+J151*Prislapp!$J$2+K151*Prislapp!$K$2+L151*Prislapp!$L$2+M151*Prislapp!$M$2+N151*Prislapp!$N$2</f>
        <v>19863</v>
      </c>
      <c r="P151" s="41">
        <f>C151*Prislapp!$C$3+D151*Prislapp!$D$3+E151*Prislapp!$E$3+F151*Prislapp!$F$3+G151*Prislapp!$G$3+H151*Prislapp!$H$3+I151*Prislapp!$I$3+J151*Prislapp!$J$3+K151*Prislapp!$K$3+M151*Prislapp!$M$3+N151*Prislapp!$N$3</f>
        <v>35472</v>
      </c>
      <c r="Q151" s="41">
        <f>C151*Prislapp!$C$5+D151*Prislapp!$D$5+E151*Prislapp!$E$5+F151*Prislapp!$F$5+G151*Prislapp!$G$5+H151*Prislapp!$H$5+I151*Prislapp!$I$5+J151*Prislapp!$J$5+K151*Prislapp!$K$5+L151*Prislapp!$L$5+M151*Prislapp!$M$5+N151*Prislapp!$N$5</f>
        <v>22200</v>
      </c>
      <c r="R151" s="9">
        <f>VLOOKUP(A151,'Ansvar kurs'!$A$3:$B$219,2,FALSE)</f>
        <v>5730</v>
      </c>
      <c r="U151" s="162"/>
      <c r="V151" s="162"/>
      <c r="W151" s="162"/>
      <c r="X151" s="162"/>
      <c r="Y151" s="162"/>
      <c r="Z151" s="162"/>
    </row>
    <row r="152" spans="1:26" x14ac:dyDescent="0.25">
      <c r="A152" s="32" t="s">
        <v>414</v>
      </c>
      <c r="B152" s="32" t="s">
        <v>422</v>
      </c>
      <c r="H152" s="32">
        <v>1</v>
      </c>
      <c r="O152" s="41">
        <f>C152*Prislapp!$C$2+D152*Prislapp!$D$2+E152*Prislapp!$E$2+F152*Prislapp!$F$2+G152*Prislapp!$G$2+H152*Prislapp!$H$2+I152*Prislapp!$I$2+J152*Prislapp!$J$2+K152*Prislapp!$K$2+L152*Prislapp!$L$2+M152*Prislapp!$M$2+N152*Prislapp!$N$2</f>
        <v>19863</v>
      </c>
      <c r="P152" s="41">
        <f>C152*Prislapp!$C$3+D152*Prislapp!$D$3+E152*Prislapp!$E$3+F152*Prislapp!$F$3+G152*Prislapp!$G$3+H152*Prislapp!$H$3+I152*Prislapp!$I$3+J152*Prislapp!$J$3+K152*Prislapp!$K$3+M152*Prislapp!$M$3+N152*Prislapp!$N$3</f>
        <v>35472</v>
      </c>
      <c r="Q152" s="41">
        <f>C152*Prislapp!$C$5+D152*Prislapp!$D$5+E152*Prislapp!$E$5+F152*Prislapp!$F$5+G152*Prislapp!$G$5+H152*Prislapp!$H$5+I152*Prislapp!$I$5+J152*Prislapp!$J$5+K152*Prislapp!$K$5+L152*Prislapp!$L$5+M152*Prislapp!$M$5+N152*Prislapp!$N$5</f>
        <v>22200</v>
      </c>
      <c r="R152" s="9">
        <f>VLOOKUP(A152,'Ansvar kurs'!$A$3:$B$219,2,FALSE)</f>
        <v>5740</v>
      </c>
      <c r="S152" s="162"/>
      <c r="T152" s="162"/>
      <c r="U152" s="162"/>
      <c r="V152" s="162"/>
      <c r="W152" s="162"/>
      <c r="X152" s="162"/>
      <c r="Y152" s="162"/>
      <c r="Z152" s="162"/>
    </row>
    <row r="153" spans="1:26" x14ac:dyDescent="0.25">
      <c r="A153" s="32" t="s">
        <v>415</v>
      </c>
      <c r="B153" s="32" t="s">
        <v>423</v>
      </c>
      <c r="H153" s="32">
        <v>1</v>
      </c>
      <c r="O153" s="41">
        <f>C153*Prislapp!$C$2+D153*Prislapp!$D$2+E153*Prislapp!$E$2+F153*Prislapp!$F$2+G153*Prislapp!$G$2+H153*Prislapp!$H$2+I153*Prislapp!$I$2+J153*Prislapp!$J$2+K153*Prislapp!$K$2+L153*Prislapp!$L$2+M153*Prislapp!$M$2+N153*Prislapp!$N$2</f>
        <v>19863</v>
      </c>
      <c r="P153" s="41">
        <f>C153*Prislapp!$C$3+D153*Prislapp!$D$3+E153*Prislapp!$E$3+F153*Prislapp!$F$3+G153*Prislapp!$G$3+H153*Prislapp!$H$3+I153*Prislapp!$I$3+J153*Prislapp!$J$3+K153*Prislapp!$K$3+M153*Prislapp!$M$3+N153*Prislapp!$N$3</f>
        <v>35472</v>
      </c>
      <c r="Q153" s="41">
        <f>C153*Prislapp!$C$5+D153*Prislapp!$D$5+E153*Prislapp!$E$5+F153*Prislapp!$F$5+G153*Prislapp!$G$5+H153*Prislapp!$H$5+I153*Prislapp!$I$5+J153*Prislapp!$J$5+K153*Prislapp!$K$5+L153*Prislapp!$L$5+M153*Prislapp!$M$5+N153*Prislapp!$N$5</f>
        <v>22200</v>
      </c>
      <c r="R153" s="9">
        <f>VLOOKUP(A153,'Ansvar kurs'!$A$3:$B$219,2,FALSE)</f>
        <v>5740</v>
      </c>
      <c r="S153" s="162"/>
      <c r="T153" s="162"/>
      <c r="U153" s="162"/>
      <c r="V153" s="162"/>
      <c r="W153" s="162"/>
      <c r="X153" s="162"/>
      <c r="Y153" s="162"/>
      <c r="Z153" s="162"/>
    </row>
    <row r="154" spans="1:26" x14ac:dyDescent="0.25">
      <c r="A154" s="32" t="s">
        <v>416</v>
      </c>
      <c r="B154" s="32" t="s">
        <v>424</v>
      </c>
      <c r="H154" s="32">
        <v>1</v>
      </c>
      <c r="O154" s="41">
        <f>C154*Prislapp!$C$2+D154*Prislapp!$D$2+E154*Prislapp!$E$2+F154*Prislapp!$F$2+G154*Prislapp!$G$2+H154*Prislapp!$H$2+I154*Prislapp!$I$2+J154*Prislapp!$J$2+K154*Prislapp!$K$2+L154*Prislapp!$L$2+M154*Prislapp!$M$2+N154*Prislapp!$N$2</f>
        <v>19863</v>
      </c>
      <c r="P154" s="41">
        <f>C154*Prislapp!$C$3+D154*Prislapp!$D$3+E154*Prislapp!$E$3+F154*Prislapp!$F$3+G154*Prislapp!$G$3+H154*Prislapp!$H$3+I154*Prislapp!$I$3+J154*Prislapp!$J$3+K154*Prislapp!$K$3+M154*Prislapp!$M$3+N154*Prislapp!$N$3</f>
        <v>35472</v>
      </c>
      <c r="Q154" s="41">
        <f>C154*Prislapp!$C$5+D154*Prislapp!$D$5+E154*Prislapp!$E$5+F154*Prislapp!$F$5+G154*Prislapp!$G$5+H154*Prislapp!$H$5+I154*Prislapp!$I$5+J154*Prislapp!$J$5+K154*Prislapp!$K$5+L154*Prislapp!$L$5+M154*Prislapp!$M$5+N154*Prislapp!$N$5</f>
        <v>22200</v>
      </c>
      <c r="R154" s="9">
        <f>VLOOKUP(A154,'Ansvar kurs'!$A$3:$B$219,2,FALSE)</f>
        <v>5740</v>
      </c>
      <c r="S154" s="162"/>
      <c r="T154" s="162"/>
      <c r="U154" s="162"/>
      <c r="V154" s="162"/>
      <c r="W154" s="162"/>
      <c r="X154" s="162"/>
      <c r="Y154" s="162"/>
      <c r="Z154" s="162"/>
    </row>
    <row r="155" spans="1:26" x14ac:dyDescent="0.25">
      <c r="A155" s="32" t="s">
        <v>836</v>
      </c>
      <c r="B155" s="32" t="s">
        <v>838</v>
      </c>
      <c r="H155" s="32">
        <v>1</v>
      </c>
      <c r="O155" s="41">
        <f>C155*Prislapp!$C$2+D155*Prislapp!$D$2+E155*Prislapp!$E$2+F155*Prislapp!$F$2+G155*Prislapp!$G$2+H155*Prislapp!$H$2+I155*Prislapp!$I$2+J155*Prislapp!$J$2+K155*Prislapp!$K$2+L155*Prislapp!$L$2+M155*Prislapp!$M$2+N155*Prislapp!$N$2</f>
        <v>19863</v>
      </c>
      <c r="P155" s="41">
        <f>C155*Prislapp!$C$3+D155*Prislapp!$D$3+E155*Prislapp!$E$3+F155*Prislapp!$F$3+G155*Prislapp!$G$3+H155*Prislapp!$H$3+I155*Prislapp!$I$3+J155*Prislapp!$J$3+K155*Prislapp!$K$3+M155*Prislapp!$M$3+N155*Prislapp!$N$3</f>
        <v>35472</v>
      </c>
      <c r="Q155" s="41">
        <f>C155*Prislapp!$C$5+D155*Prislapp!$D$5+E155*Prislapp!$E$5+F155*Prislapp!$F$5+G155*Prislapp!$G$5+H155*Prislapp!$H$5+I155*Prislapp!$I$5+J155*Prislapp!$J$5+K155*Prislapp!$K$5+L155*Prislapp!$L$5+M155*Prislapp!$M$5+N155*Prislapp!$N$5</f>
        <v>22200</v>
      </c>
      <c r="R155" s="9">
        <f>VLOOKUP(A155,'Ansvar kurs'!$A$3:$B$219,2,FALSE)</f>
        <v>5740</v>
      </c>
      <c r="T155" s="162"/>
      <c r="U155" s="162"/>
      <c r="V155" s="162"/>
      <c r="W155" s="162"/>
      <c r="X155" s="162"/>
      <c r="Y155" s="162"/>
      <c r="Z155" s="162"/>
    </row>
    <row r="156" spans="1:26" x14ac:dyDescent="0.25">
      <c r="A156" s="32" t="s">
        <v>923</v>
      </c>
      <c r="B156" s="32" t="s">
        <v>945</v>
      </c>
      <c r="H156" s="32">
        <v>1</v>
      </c>
      <c r="O156" s="41">
        <f>C156*Prislapp!$C$2+D156*Prislapp!$D$2+E156*Prislapp!$E$2+F156*Prislapp!$F$2+G156*Prislapp!$G$2+H156*Prislapp!$H$2+I156*Prislapp!$I$2+J156*Prislapp!$J$2+K156*Prislapp!$K$2+L156*Prislapp!$L$2+M156*Prislapp!$M$2+N156*Prislapp!$N$2</f>
        <v>19863</v>
      </c>
      <c r="P156" s="41">
        <f>C156*Prislapp!$C$3+D156*Prislapp!$D$3+E156*Prislapp!$E$3+F156*Prislapp!$F$3+G156*Prislapp!$G$3+H156*Prislapp!$H$3+I156*Prislapp!$I$3+J156*Prislapp!$J$3+K156*Prislapp!$K$3+M156*Prislapp!$M$3+N156*Prislapp!$N$3</f>
        <v>35472</v>
      </c>
      <c r="Q156" s="41">
        <f>C156*Prislapp!$C$5+D156*Prislapp!$D$5+E156*Prislapp!$E$5+F156*Prislapp!$F$5+G156*Prislapp!$G$5+H156*Prislapp!$H$5+I156*Prislapp!$I$5+J156*Prislapp!$J$5+K156*Prislapp!$K$5+L156*Prislapp!$L$5+M156*Prislapp!$M$5+N156*Prislapp!$N$5</f>
        <v>22200</v>
      </c>
      <c r="R156" s="9">
        <f>VLOOKUP(A156,'Ansvar kurs'!$A$3:$B$219,2,FALSE)</f>
        <v>5740</v>
      </c>
      <c r="T156" s="162"/>
      <c r="U156" s="162"/>
      <c r="V156" s="162"/>
      <c r="W156" s="162"/>
      <c r="X156" s="162"/>
      <c r="Y156" s="162"/>
      <c r="Z156" s="162"/>
    </row>
    <row r="157" spans="1:26" x14ac:dyDescent="0.25">
      <c r="A157" s="32" t="s">
        <v>572</v>
      </c>
      <c r="B157" s="32" t="s">
        <v>584</v>
      </c>
      <c r="H157" s="32">
        <v>1</v>
      </c>
      <c r="O157" s="41">
        <f>C157*Prislapp!$C$2+D157*Prislapp!$D$2+E157*Prislapp!$E$2+F157*Prislapp!$F$2+G157*Prislapp!$G$2+H157*Prislapp!$H$2+I157*Prislapp!$I$2+J157*Prislapp!$J$2+K157*Prislapp!$K$2+L157*Prislapp!$L$2+M157*Prislapp!$M$2+N157*Prislapp!$N$2</f>
        <v>19863</v>
      </c>
      <c r="P157" s="41">
        <f>C157*Prislapp!$C$3+D157*Prislapp!$D$3+E157*Prislapp!$E$3+F157*Prislapp!$F$3+G157*Prislapp!$G$3+H157*Prislapp!$H$3+I157*Prislapp!$I$3+J157*Prislapp!$J$3+K157*Prislapp!$K$3+M157*Prislapp!$M$3+N157*Prislapp!$N$3</f>
        <v>35472</v>
      </c>
      <c r="Q157" s="41">
        <f>C157*Prislapp!$C$5+D157*Prislapp!$D$5+E157*Prislapp!$E$5+F157*Prislapp!$F$5+G157*Prislapp!$G$5+H157*Prislapp!$H$5+I157*Prislapp!$I$5+J157*Prislapp!$J$5+K157*Prislapp!$K$5+L157*Prislapp!$L$5+M157*Prislapp!$M$5+N157*Prislapp!$N$5</f>
        <v>22200</v>
      </c>
      <c r="R157" s="9">
        <f>VLOOKUP(A157,'Ansvar kurs'!$A$3:$B$219,2,FALSE)</f>
        <v>5740</v>
      </c>
      <c r="S157" s="162"/>
      <c r="T157" s="162"/>
      <c r="U157" s="162"/>
      <c r="V157" s="162"/>
      <c r="W157" s="162"/>
      <c r="X157" s="162"/>
      <c r="Y157" s="162"/>
      <c r="Z157" s="162"/>
    </row>
    <row r="158" spans="1:26" x14ac:dyDescent="0.25">
      <c r="A158" s="32" t="s">
        <v>573</v>
      </c>
      <c r="B158" s="32" t="s">
        <v>585</v>
      </c>
      <c r="H158" s="32">
        <v>1</v>
      </c>
      <c r="O158" s="41">
        <f>C158*Prislapp!$C$2+D158*Prislapp!$D$2+E158*Prislapp!$E$2+F158*Prislapp!$F$2+G158*Prislapp!$G$2+H158*Prislapp!$H$2+I158*Prislapp!$I$2+J158*Prislapp!$J$2+K158*Prislapp!$K$2+L158*Prislapp!$L$2+M158*Prislapp!$M$2+N158*Prislapp!$N$2</f>
        <v>19863</v>
      </c>
      <c r="P158" s="41">
        <f>C158*Prislapp!$C$3+D158*Prislapp!$D$3+E158*Prislapp!$E$3+F158*Prislapp!$F$3+G158*Prislapp!$G$3+H158*Prislapp!$H$3+I158*Prislapp!$I$3+J158*Prislapp!$J$3+K158*Prislapp!$K$3+M158*Prislapp!$M$3+N158*Prislapp!$N$3</f>
        <v>35472</v>
      </c>
      <c r="Q158" s="41">
        <f>C158*Prislapp!$C$5+D158*Prislapp!$D$5+E158*Prislapp!$E$5+F158*Prislapp!$F$5+G158*Prislapp!$G$5+H158*Prislapp!$H$5+I158*Prislapp!$I$5+J158*Prislapp!$J$5+K158*Prislapp!$K$5+L158*Prislapp!$L$5+M158*Prislapp!$M$5+N158*Prislapp!$N$5</f>
        <v>22200</v>
      </c>
      <c r="R158" s="9">
        <f>VLOOKUP(A158,'Ansvar kurs'!$A$3:$B$219,2,FALSE)</f>
        <v>5740</v>
      </c>
      <c r="S158" s="162"/>
      <c r="T158" s="162"/>
      <c r="U158" s="162"/>
      <c r="V158" s="162"/>
      <c r="W158" s="162"/>
      <c r="X158" s="162"/>
      <c r="Y158" s="162"/>
      <c r="Z158" s="162"/>
    </row>
    <row r="159" spans="1:26" x14ac:dyDescent="0.25">
      <c r="A159" s="32" t="s">
        <v>620</v>
      </c>
      <c r="B159" s="32" t="s">
        <v>647</v>
      </c>
      <c r="H159" s="32">
        <v>1</v>
      </c>
      <c r="O159" s="41">
        <f>C159*Prislapp!$C$2+D159*Prislapp!$D$2+E159*Prislapp!$E$2+F159*Prislapp!$F$2+G159*Prislapp!$G$2+H159*Prislapp!$H$2+I159*Prislapp!$I$2+J159*Prislapp!$J$2+K159*Prislapp!$K$2+L159*Prislapp!$L$2+M159*Prislapp!$M$2+N159*Prislapp!$N$2</f>
        <v>19863</v>
      </c>
      <c r="P159" s="41">
        <f>C159*Prislapp!$C$3+D159*Prislapp!$D$3+E159*Prislapp!$E$3+F159*Prislapp!$F$3+G159*Prislapp!$G$3+H159*Prislapp!$H$3+I159*Prislapp!$I$3+J159*Prislapp!$J$3+K159*Prislapp!$K$3+M159*Prislapp!$M$3+N159*Prislapp!$N$3</f>
        <v>35472</v>
      </c>
      <c r="Q159" s="41">
        <f>C159*Prislapp!$C$5+D159*Prislapp!$D$5+E159*Prislapp!$E$5+F159*Prislapp!$F$5+G159*Prislapp!$G$5+H159*Prislapp!$H$5+I159*Prislapp!$I$5+J159*Prislapp!$J$5+K159*Prislapp!$K$5+L159*Prislapp!$L$5+M159*Prislapp!$M$5+N159*Prislapp!$N$5</f>
        <v>22200</v>
      </c>
      <c r="R159" s="9">
        <f>VLOOKUP(A159,'Ansvar kurs'!$A$3:$B$219,2,FALSE)</f>
        <v>5740</v>
      </c>
      <c r="S159" s="162"/>
      <c r="T159" s="162"/>
      <c r="U159" s="162"/>
      <c r="V159" s="162"/>
      <c r="W159" s="162"/>
      <c r="X159" s="162"/>
      <c r="Y159" s="162"/>
      <c r="Z159" s="162"/>
    </row>
    <row r="160" spans="1:26" x14ac:dyDescent="0.25">
      <c r="A160" s="32" t="s">
        <v>871</v>
      </c>
      <c r="B160" s="32" t="s">
        <v>888</v>
      </c>
      <c r="H160" s="32">
        <v>1</v>
      </c>
      <c r="O160" s="41">
        <f>C160*Prislapp!$C$2+D160*Prislapp!$D$2+E160*Prislapp!$E$2+F160*Prislapp!$F$2+G160*Prislapp!$G$2+H160*Prislapp!$H$2+I160*Prislapp!$I$2+J160*Prislapp!$J$2+K160*Prislapp!$K$2+L160*Prislapp!$L$2+M160*Prislapp!$M$2+N160*Prislapp!$N$2</f>
        <v>19863</v>
      </c>
      <c r="P160" s="41">
        <f>C160*Prislapp!$C$3+D160*Prislapp!$D$3+E160*Prislapp!$E$3+F160*Prislapp!$F$3+G160*Prislapp!$G$3+H160*Prislapp!$H$3+I160*Prislapp!$I$3+J160*Prislapp!$J$3+K160*Prislapp!$K$3+M160*Prislapp!$M$3+N160*Prislapp!$N$3</f>
        <v>35472</v>
      </c>
      <c r="Q160" s="41">
        <f>C160*Prislapp!$C$5+D160*Prislapp!$D$5+E160*Prislapp!$E$5+F160*Prislapp!$F$5+G160*Prislapp!$G$5+H160*Prislapp!$H$5+I160*Prislapp!$I$5+J160*Prislapp!$J$5+K160*Prislapp!$K$5+L160*Prislapp!$L$5+M160*Prislapp!$M$5+N160*Prislapp!$N$5</f>
        <v>22200</v>
      </c>
      <c r="R160" s="9">
        <f>VLOOKUP(A160,'Ansvar kurs'!$A$3:$B$219,2,FALSE)</f>
        <v>5740</v>
      </c>
      <c r="S160" s="162"/>
      <c r="T160" s="162"/>
      <c r="U160" s="162"/>
      <c r="V160" s="162"/>
      <c r="W160" s="162"/>
      <c r="X160" s="162"/>
      <c r="Y160" s="162"/>
      <c r="Z160" s="162"/>
    </row>
    <row r="161" spans="1:26" x14ac:dyDescent="0.25">
      <c r="A161" s="32" t="s">
        <v>679</v>
      </c>
      <c r="B161" s="32" t="s">
        <v>689</v>
      </c>
      <c r="H161" s="32">
        <v>1</v>
      </c>
      <c r="O161" s="41">
        <f>C161*Prislapp!$C$2+D161*Prislapp!$D$2+E161*Prislapp!$E$2+F161*Prislapp!$F$2+G161*Prislapp!$G$2+H161*Prislapp!$H$2+I161*Prislapp!$I$2+J161*Prislapp!$J$2+K161*Prislapp!$K$2+L161*Prislapp!$L$2+M161*Prislapp!$M$2+N161*Prislapp!$N$2</f>
        <v>19863</v>
      </c>
      <c r="P161" s="41">
        <f>C161*Prislapp!$C$3+D161*Prislapp!$D$3+E161*Prislapp!$E$3+F161*Prislapp!$F$3+G161*Prislapp!$G$3+H161*Prislapp!$H$3+I161*Prislapp!$I$3+J161*Prislapp!$J$3+K161*Prislapp!$K$3+M161*Prislapp!$M$3+N161*Prislapp!$N$3</f>
        <v>35472</v>
      </c>
      <c r="Q161" s="41">
        <f>C161*Prislapp!$C$5+D161*Prislapp!$D$5+E161*Prislapp!$E$5+F161*Prislapp!$F$5+G161*Prislapp!$G$5+H161*Prislapp!$H$5+I161*Prislapp!$I$5+J161*Prislapp!$J$5+K161*Prislapp!$K$5+L161*Prislapp!$L$5+M161*Prislapp!$M$5+N161*Prislapp!$N$5</f>
        <v>22200</v>
      </c>
      <c r="R161" s="9">
        <f>VLOOKUP(A161,'Ansvar kurs'!$A$3:$B$219,2,FALSE)</f>
        <v>5730</v>
      </c>
      <c r="S161" s="162"/>
      <c r="T161" s="162"/>
      <c r="U161" s="162"/>
      <c r="V161" s="162"/>
      <c r="W161" s="162"/>
      <c r="X161" s="162"/>
      <c r="Y161" s="162"/>
      <c r="Z161" s="162"/>
    </row>
    <row r="162" spans="1:26" x14ac:dyDescent="0.25">
      <c r="A162" s="32" t="s">
        <v>747</v>
      </c>
      <c r="B162" s="32" t="s">
        <v>689</v>
      </c>
      <c r="H162" s="32">
        <v>1</v>
      </c>
      <c r="O162" s="41">
        <f>C162*Prislapp!$C$2+D162*Prislapp!$D$2+E162*Prislapp!$E$2+F162*Prislapp!$F$2+G162*Prislapp!$G$2+H162*Prislapp!$H$2+I162*Prislapp!$I$2+J162*Prislapp!$J$2+K162*Prislapp!$K$2+L162*Prislapp!$L$2+M162*Prislapp!$M$2+N162*Prislapp!$N$2</f>
        <v>19863</v>
      </c>
      <c r="P162" s="41">
        <f>C162*Prislapp!$C$3+D162*Prislapp!$D$3+E162*Prislapp!$E$3+F162*Prislapp!$F$3+G162*Prislapp!$G$3+H162*Prislapp!$H$3+I162*Prislapp!$I$3+J162*Prislapp!$J$3+K162*Prislapp!$K$3+M162*Prislapp!$M$3+N162*Prislapp!$N$3</f>
        <v>35472</v>
      </c>
      <c r="Q162" s="41">
        <f>C162*Prislapp!$C$5+D162*Prislapp!$D$5+E162*Prislapp!$E$5+F162*Prislapp!$F$5+G162*Prislapp!$G$5+H162*Prislapp!$H$5+I162*Prislapp!$I$5+J162*Prislapp!$J$5+K162*Prislapp!$K$5+L162*Prislapp!$L$5+M162*Prislapp!$M$5+N162*Prislapp!$N$5</f>
        <v>22200</v>
      </c>
      <c r="R162" s="9">
        <f>VLOOKUP(A162,'Ansvar kurs'!$A$3:$B$219,2,FALSE)</f>
        <v>5730</v>
      </c>
      <c r="S162" s="162"/>
      <c r="T162" s="162"/>
      <c r="U162" s="162"/>
      <c r="V162" s="162"/>
      <c r="W162" s="162"/>
      <c r="X162" s="162"/>
      <c r="Y162" s="162"/>
      <c r="Z162" s="162"/>
    </row>
    <row r="163" spans="1:26" x14ac:dyDescent="0.25">
      <c r="A163" s="32" t="s">
        <v>325</v>
      </c>
      <c r="B163" s="32" t="s">
        <v>425</v>
      </c>
      <c r="G163" s="32">
        <v>1</v>
      </c>
      <c r="O163" s="41">
        <f>C163*Prislapp!$C$2+D163*Prislapp!$D$2+E163*Prislapp!$E$2+F163*Prislapp!$F$2+G163*Prislapp!$G$2+H163*Prislapp!$H$2+I163*Prislapp!$I$2+J163*Prislapp!$J$2+K163*Prislapp!$K$2+L163*Prislapp!$L$2+M163*Prislapp!$M$2+N163*Prislapp!$N$2</f>
        <v>31433</v>
      </c>
      <c r="P163" s="41">
        <f>C163*Prislapp!$C$3+D163*Prislapp!$D$3+E163*Prislapp!$E$3+F163*Prislapp!$F$3+G163*Prislapp!$G$3+H163*Prislapp!$H$3+I163*Prislapp!$I$3+J163*Prislapp!$J$3+K163*Prislapp!$K$3+M163*Prislapp!$M$3+N163*Prislapp!$N$3</f>
        <v>65018</v>
      </c>
      <c r="Q163" s="41">
        <f>C163*Prislapp!$C$5+D163*Prislapp!$D$5+E163*Prislapp!$E$5+F163*Prislapp!$F$5+G163*Prislapp!$G$5+H163*Prislapp!$H$5+I163*Prislapp!$I$5+J163*Prislapp!$J$5+K163*Prislapp!$K$5+L163*Prislapp!$L$5+M163*Prislapp!$M$5+N163*Prislapp!$N$5</f>
        <v>71400</v>
      </c>
      <c r="R163" s="9">
        <f>VLOOKUP(A163,'Ansvar kurs'!$A$3:$B$219,2,FALSE)</f>
        <v>1650</v>
      </c>
      <c r="S163" s="162"/>
      <c r="T163" s="162"/>
      <c r="U163" s="162"/>
      <c r="V163" s="162"/>
      <c r="W163" s="162"/>
      <c r="X163" s="162"/>
      <c r="Y163" s="162"/>
      <c r="Z163" s="162"/>
    </row>
    <row r="164" spans="1:26" x14ac:dyDescent="0.25">
      <c r="A164" s="32" t="s">
        <v>373</v>
      </c>
      <c r="B164" s="32" t="s">
        <v>372</v>
      </c>
      <c r="G164" s="32">
        <v>1</v>
      </c>
      <c r="O164" s="41">
        <f>C164*Prislapp!$C$2+D164*Prislapp!$D$2+E164*Prislapp!$E$2+F164*Prislapp!$F$2+G164*Prislapp!$G$2+H164*Prislapp!$H$2+I164*Prislapp!$I$2+J164*Prislapp!$J$2+K164*Prislapp!$K$2+L164*Prislapp!$L$2+M164*Prislapp!$M$2+N164*Prislapp!$N$2</f>
        <v>31433</v>
      </c>
      <c r="P164" s="41">
        <f>C164*Prislapp!$C$3+D164*Prislapp!$D$3+E164*Prislapp!$E$3+F164*Prislapp!$F$3+G164*Prislapp!$G$3+H164*Prislapp!$H$3+I164*Prislapp!$I$3+J164*Prislapp!$J$3+K164*Prislapp!$K$3+M164*Prislapp!$M$3+N164*Prislapp!$N$3</f>
        <v>65018</v>
      </c>
      <c r="Q164" s="41">
        <f>C164*Prislapp!$C$5+D164*Prislapp!$D$5+E164*Prislapp!$E$5+F164*Prislapp!$F$5+G164*Prislapp!$G$5+H164*Prislapp!$H$5+I164*Prislapp!$I$5+J164*Prislapp!$J$5+K164*Prislapp!$K$5+L164*Prislapp!$L$5+M164*Prislapp!$M$5+N164*Prislapp!$N$5</f>
        <v>71400</v>
      </c>
      <c r="R164" s="9">
        <f>VLOOKUP(A164,'Ansvar kurs'!$A$3:$B$219,2,FALSE)</f>
        <v>1650</v>
      </c>
      <c r="S164" s="162"/>
      <c r="T164" s="162"/>
      <c r="U164" s="162"/>
      <c r="V164" s="162"/>
      <c r="W164" s="162"/>
      <c r="X164" s="162"/>
      <c r="Y164" s="162"/>
      <c r="Z164" s="162"/>
    </row>
    <row r="165" spans="1:26" x14ac:dyDescent="0.25">
      <c r="A165" s="32" t="s">
        <v>381</v>
      </c>
      <c r="B165" s="32" t="s">
        <v>390</v>
      </c>
      <c r="G165" s="32">
        <v>1</v>
      </c>
      <c r="O165" s="41">
        <f>C165*Prislapp!$C$2+D165*Prislapp!$D$2+E165*Prislapp!$E$2+F165*Prislapp!$F$2+G165*Prislapp!$G$2+H165*Prislapp!$H$2+I165*Prislapp!$I$2+J165*Prislapp!$J$2+K165*Prislapp!$K$2+L165*Prislapp!$L$2+M165*Prislapp!$M$2+N165*Prislapp!$N$2</f>
        <v>31433</v>
      </c>
      <c r="P165" s="41">
        <f>C165*Prislapp!$C$3+D165*Prislapp!$D$3+E165*Prislapp!$E$3+F165*Prislapp!$F$3+G165*Prislapp!$G$3+H165*Prislapp!$H$3+I165*Prislapp!$I$3+J165*Prislapp!$J$3+K165*Prislapp!$K$3+M165*Prislapp!$M$3+N165*Prislapp!$N$3</f>
        <v>65018</v>
      </c>
      <c r="Q165" s="41">
        <f>C165*Prislapp!$C$5+D165*Prislapp!$D$5+E165*Prislapp!$E$5+F165*Prislapp!$F$5+G165*Prislapp!$G$5+H165*Prislapp!$H$5+I165*Prislapp!$I$5+J165*Prislapp!$J$5+K165*Prislapp!$K$5+L165*Prislapp!$L$5+M165*Prislapp!$M$5+N165*Prislapp!$N$5</f>
        <v>71400</v>
      </c>
      <c r="R165" s="9">
        <f>VLOOKUP(A165,'Ansvar kurs'!$A$3:$B$219,2,FALSE)</f>
        <v>1650</v>
      </c>
      <c r="S165" s="162"/>
      <c r="T165" s="162"/>
      <c r="U165" s="162"/>
      <c r="V165" s="162"/>
      <c r="W165" s="162"/>
      <c r="X165" s="162"/>
      <c r="Y165" s="162"/>
      <c r="Z165" s="162"/>
    </row>
    <row r="166" spans="1:26" x14ac:dyDescent="0.25">
      <c r="A166" s="32" t="s">
        <v>396</v>
      </c>
      <c r="B166" s="32" t="s">
        <v>426</v>
      </c>
      <c r="G166" s="32">
        <v>1</v>
      </c>
      <c r="O166" s="41">
        <f>C166*Prislapp!$C$2+D166*Prislapp!$D$2+E166*Prislapp!$E$2+F166*Prislapp!$F$2+G166*Prislapp!$G$2+H166*Prislapp!$H$2+I166*Prislapp!$I$2+J166*Prislapp!$J$2+K166*Prislapp!$K$2+L166*Prislapp!$L$2+M166*Prislapp!$M$2+N166*Prislapp!$N$2</f>
        <v>31433</v>
      </c>
      <c r="P166" s="41">
        <f>C166*Prislapp!$C$3+D166*Prislapp!$D$3+E166*Prislapp!$E$3+F166*Prislapp!$F$3+G166*Prislapp!$G$3+H166*Prislapp!$H$3+I166*Prislapp!$I$3+J166*Prislapp!$J$3+K166*Prislapp!$K$3+M166*Prislapp!$M$3+N166*Prislapp!$N$3</f>
        <v>65018</v>
      </c>
      <c r="Q166" s="41">
        <f>C166*Prislapp!$C$5+D166*Prislapp!$D$5+E166*Prislapp!$E$5+F166*Prislapp!$F$5+G166*Prislapp!$G$5+H166*Prislapp!$H$5+I166*Prislapp!$I$5+J166*Prislapp!$J$5+K166*Prislapp!$K$5+L166*Prislapp!$L$5+M166*Prislapp!$M$5+N166*Prislapp!$N$5</f>
        <v>71400</v>
      </c>
      <c r="R166" s="9">
        <f>VLOOKUP(A166,'Ansvar kurs'!$A$3:$B$219,2,FALSE)</f>
        <v>1650</v>
      </c>
      <c r="S166" s="162"/>
      <c r="T166" s="162"/>
      <c r="U166" s="162"/>
      <c r="V166" s="162"/>
      <c r="W166" s="162"/>
      <c r="X166" s="162"/>
      <c r="Y166" s="162"/>
      <c r="Z166" s="162"/>
    </row>
    <row r="167" spans="1:26" x14ac:dyDescent="0.25">
      <c r="A167" s="32" t="s">
        <v>410</v>
      </c>
      <c r="B167" s="32" t="s">
        <v>434</v>
      </c>
      <c r="G167" s="32">
        <v>1</v>
      </c>
      <c r="O167" s="41">
        <f>C167*Prislapp!$C$2+D167*Prislapp!$D$2+E167*Prislapp!$E$2+F167*Prislapp!$F$2+G167*Prislapp!$G$2+H167*Prislapp!$H$2+I167*Prislapp!$I$2+J167*Prislapp!$J$2+K167*Prislapp!$K$2+L167*Prislapp!$L$2+M167*Prislapp!$M$2+N167*Prislapp!$N$2</f>
        <v>31433</v>
      </c>
      <c r="P167" s="41">
        <f>C167*Prislapp!$C$3+D167*Prislapp!$D$3+E167*Prislapp!$E$3+F167*Prislapp!$F$3+G167*Prislapp!$G$3+H167*Prislapp!$H$3+I167*Prislapp!$I$3+J167*Prislapp!$J$3+K167*Prislapp!$K$3+M167*Prislapp!$M$3+N167*Prislapp!$N$3</f>
        <v>65018</v>
      </c>
      <c r="Q167" s="41">
        <f>C167*Prislapp!$C$5+D167*Prislapp!$D$5+E167*Prislapp!$E$5+F167*Prislapp!$F$5+G167*Prislapp!$G$5+H167*Prislapp!$H$5+I167*Prislapp!$I$5+J167*Prislapp!$J$5+K167*Prislapp!$K$5+L167*Prislapp!$L$5+M167*Prislapp!$M$5+N167*Prislapp!$N$5</f>
        <v>71400</v>
      </c>
      <c r="R167" s="9">
        <f>VLOOKUP(A167,'Ansvar kurs'!$A$3:$B$219,2,FALSE)</f>
        <v>1650</v>
      </c>
      <c r="S167" s="162"/>
      <c r="T167" s="162"/>
      <c r="U167" s="162"/>
      <c r="V167" s="162"/>
      <c r="W167" s="162"/>
      <c r="X167" s="162"/>
      <c r="Y167" s="162"/>
      <c r="Z167" s="162"/>
    </row>
    <row r="168" spans="1:26" x14ac:dyDescent="0.25">
      <c r="A168" s="32" t="s">
        <v>837</v>
      </c>
      <c r="B168" s="32" t="s">
        <v>839</v>
      </c>
      <c r="G168" s="32">
        <v>1</v>
      </c>
      <c r="O168" s="41">
        <f>C168*Prislapp!$C$2+D168*Prislapp!$D$2+E168*Prislapp!$E$2+F168*Prislapp!$F$2+G168*Prislapp!$G$2+H168*Prislapp!$H$2+I168*Prislapp!$I$2+J168*Prislapp!$J$2+K168*Prislapp!$K$2+L168*Prislapp!$L$2+M168*Prislapp!$M$2+N168*Prislapp!$N$2</f>
        <v>31433</v>
      </c>
      <c r="P168" s="41">
        <f>C168*Prislapp!$C$3+D168*Prislapp!$D$3+E168*Prislapp!$E$3+F168*Prislapp!$F$3+G168*Prislapp!$G$3+H168*Prislapp!$H$3+I168*Prislapp!$I$3+J168*Prislapp!$J$3+K168*Prislapp!$K$3+M168*Prislapp!$M$3+N168*Prislapp!$N$3</f>
        <v>65018</v>
      </c>
      <c r="Q168" s="41">
        <f>C168*Prislapp!$C$5+D168*Prislapp!$D$5+E168*Prislapp!$E$5+F168*Prislapp!$F$5+G168*Prislapp!$G$5+H168*Prislapp!$H$5+I168*Prislapp!$I$5+J168*Prislapp!$J$5+K168*Prislapp!$K$5+L168*Prislapp!$L$5+M168*Prislapp!$M$5+N168*Prislapp!$N$5</f>
        <v>71400</v>
      </c>
      <c r="R168" s="9">
        <f>VLOOKUP(A168,'Ansvar kurs'!$A$3:$B$219,2,FALSE)</f>
        <v>1650</v>
      </c>
      <c r="S168" s="162"/>
      <c r="T168" s="162"/>
      <c r="U168" s="162"/>
      <c r="V168" s="162"/>
      <c r="W168" s="162"/>
      <c r="X168" s="162"/>
      <c r="Y168" s="162"/>
      <c r="Z168" s="162"/>
    </row>
    <row r="169" spans="1:26" x14ac:dyDescent="0.25">
      <c r="A169" s="32" t="s">
        <v>816</v>
      </c>
      <c r="B169" s="32" t="s">
        <v>819</v>
      </c>
      <c r="G169" s="32">
        <v>1</v>
      </c>
      <c r="O169" s="41">
        <f>C169*Prislapp!$C$2+D169*Prislapp!$D$2+E169*Prislapp!$E$2+F169*Prislapp!$F$2+G169*Prislapp!$G$2+H169*Prislapp!$H$2+I169*Prislapp!$I$2+J169*Prislapp!$J$2+K169*Prislapp!$K$2+L169*Prislapp!$L$2+M169*Prislapp!$M$2+N169*Prislapp!$N$2</f>
        <v>31433</v>
      </c>
      <c r="P169" s="41">
        <f>C169*Prislapp!$C$3+D169*Prislapp!$D$3+E169*Prislapp!$E$3+F169*Prislapp!$F$3+G169*Prislapp!$G$3+H169*Prislapp!$H$3+I169*Prislapp!$I$3+J169*Prislapp!$J$3+K169*Prislapp!$K$3+M169*Prislapp!$M$3+N169*Prislapp!$N$3</f>
        <v>65018</v>
      </c>
      <c r="Q169" s="41">
        <f>C169*Prislapp!$C$5+D169*Prislapp!$D$5+E169*Prislapp!$E$5+F169*Prislapp!$F$5+G169*Prislapp!$G$5+H169*Prislapp!$H$5+I169*Prislapp!$I$5+J169*Prislapp!$J$5+K169*Prislapp!$K$5+L169*Prislapp!$L$5+M169*Prislapp!$M$5+N169*Prislapp!$N$5</f>
        <v>71400</v>
      </c>
      <c r="R169" s="9">
        <f>VLOOKUP(A169,'Ansvar kurs'!$A$3:$B$219,2,FALSE)</f>
        <v>1650</v>
      </c>
      <c r="S169" s="162"/>
      <c r="T169" s="162"/>
      <c r="U169" s="162"/>
      <c r="V169" s="162"/>
      <c r="W169" s="162"/>
      <c r="X169" s="162"/>
      <c r="Y169" s="162"/>
      <c r="Z169" s="162"/>
    </row>
    <row r="170" spans="1:26" x14ac:dyDescent="0.25">
      <c r="A170" s="32" t="s">
        <v>817</v>
      </c>
      <c r="B170" s="32" t="s">
        <v>820</v>
      </c>
      <c r="G170" s="32">
        <v>1</v>
      </c>
      <c r="O170" s="41">
        <f>C170*Prislapp!$C$2+D170*Prislapp!$D$2+E170*Prislapp!$E$2+F170*Prislapp!$F$2+G170*Prislapp!$G$2+H170*Prislapp!$H$2+I170*Prislapp!$I$2+J170*Prislapp!$J$2+K170*Prislapp!$K$2+L170*Prislapp!$L$2+M170*Prislapp!$M$2+N170*Prislapp!$N$2</f>
        <v>31433</v>
      </c>
      <c r="P170" s="41">
        <f>C170*Prislapp!$C$3+D170*Prislapp!$D$3+E170*Prislapp!$E$3+F170*Prislapp!$F$3+G170*Prislapp!$G$3+H170*Prislapp!$H$3+I170*Prislapp!$I$3+J170*Prislapp!$J$3+K170*Prislapp!$K$3+M170*Prislapp!$M$3+N170*Prislapp!$N$3</f>
        <v>65018</v>
      </c>
      <c r="Q170" s="41">
        <f>C170*Prislapp!$C$5+D170*Prislapp!$D$5+E170*Prislapp!$E$5+F170*Prislapp!$F$5+G170*Prislapp!$G$5+H170*Prislapp!$H$5+I170*Prislapp!$I$5+J170*Prislapp!$J$5+K170*Prislapp!$K$5+L170*Prislapp!$L$5+M170*Prislapp!$M$5+N170*Prislapp!$N$5</f>
        <v>71400</v>
      </c>
      <c r="R170" s="9">
        <f>VLOOKUP(A170,'Ansvar kurs'!$A$3:$B$219,2,FALSE)</f>
        <v>1650</v>
      </c>
      <c r="S170" s="162"/>
      <c r="T170" s="162"/>
      <c r="U170" s="162"/>
      <c r="V170" s="162"/>
      <c r="W170" s="162"/>
      <c r="X170" s="162"/>
      <c r="Y170" s="162"/>
      <c r="Z170" s="162"/>
    </row>
    <row r="171" spans="1:26" x14ac:dyDescent="0.25">
      <c r="A171" s="32" t="s">
        <v>680</v>
      </c>
      <c r="B171" s="32" t="s">
        <v>690</v>
      </c>
      <c r="H171" s="32">
        <v>0.4</v>
      </c>
      <c r="K171" s="32">
        <v>0.6</v>
      </c>
      <c r="O171" s="41">
        <f>C171*Prislapp!$C$2+D171*Prislapp!$D$2+E171*Prislapp!$E$2+F171*Prislapp!$F$2+G171*Prislapp!$G$2+H171*Prislapp!$H$2+I171*Prislapp!$I$2+J171*Prislapp!$J$2+K171*Prislapp!$K$2+L171*Prislapp!$L$2+M171*Prislapp!$M$2+N171*Prislapp!$N$2</f>
        <v>22789.200000000001</v>
      </c>
      <c r="P171" s="41">
        <f>C171*Prislapp!$C$3+D171*Prislapp!$D$3+E171*Prislapp!$E$3+F171*Prislapp!$F$3+G171*Prislapp!$G$3+H171*Prislapp!$H$3+I171*Prislapp!$I$3+J171*Prislapp!$J$3+K171*Prislapp!$K$3+M171*Prislapp!$M$3+N171*Prislapp!$N$3</f>
        <v>30690.6</v>
      </c>
      <c r="Q171" s="41">
        <f>C171*Prislapp!$C$5+D171*Prislapp!$D$5+E171*Prislapp!$E$5+F171*Prislapp!$F$5+G171*Prislapp!$G$5+H171*Prislapp!$H$5+I171*Prislapp!$I$5+J171*Prislapp!$J$5+K171*Prislapp!$K$5+L171*Prislapp!$L$5+M171*Prislapp!$M$5+N171*Prislapp!$N$5</f>
        <v>10980</v>
      </c>
      <c r="R171" s="9">
        <f>VLOOKUP(A171,'Ansvar kurs'!$A$3:$B$219,2,FALSE)</f>
        <v>5740</v>
      </c>
      <c r="S171" s="162"/>
      <c r="T171" s="162"/>
      <c r="U171" s="162"/>
      <c r="V171" s="162"/>
      <c r="W171" s="162"/>
      <c r="X171" s="162"/>
      <c r="Y171" s="162"/>
      <c r="Z171" s="162"/>
    </row>
    <row r="172" spans="1:26" x14ac:dyDescent="0.25">
      <c r="A172" s="32" t="s">
        <v>578</v>
      </c>
      <c r="B172" s="32" t="s">
        <v>588</v>
      </c>
      <c r="F172" s="32">
        <v>1</v>
      </c>
      <c r="O172" s="41">
        <f>C172*Prislapp!$C$2+D172*Prislapp!$D$2+E172*Prislapp!$E$2+F172*Prislapp!$F$2+G172*Prislapp!$G$2+H172*Prislapp!$H$2+I172*Prislapp!$I$2+J172*Prislapp!$J$2+K172*Prislapp!$K$2+L172*Prislapp!$L$2+M172*Prislapp!$M$2+N172*Prislapp!$N$2</f>
        <v>24104</v>
      </c>
      <c r="P172" s="41">
        <f>C172*Prislapp!$C$3+D172*Prislapp!$D$3+E172*Prislapp!$E$3+F172*Prislapp!$F$3+G172*Prislapp!$G$3+H172*Prislapp!$H$3+I172*Prislapp!$I$3+J172*Prislapp!$J$3+K172*Prislapp!$K$3+M172*Prislapp!$M$3+N172*Prislapp!$N$3</f>
        <v>31432</v>
      </c>
      <c r="Q172" s="41">
        <f>C172*Prislapp!$C$5+D172*Prislapp!$D$5+E172*Prislapp!$E$5+F172*Prislapp!$F$5+G172*Prislapp!$G$5+H172*Prislapp!$H$5+I172*Prislapp!$I$5+J172*Prislapp!$J$5+K172*Prislapp!$K$5+L172*Prislapp!$L$5+M172*Prislapp!$M$5+N172*Prislapp!$N$5</f>
        <v>5900</v>
      </c>
      <c r="R172" s="9">
        <f>VLOOKUP(A172,'Ansvar kurs'!$A$3:$B$219,2,FALSE)</f>
        <v>2180</v>
      </c>
      <c r="S172" s="162"/>
      <c r="T172" s="162"/>
      <c r="U172" s="162"/>
      <c r="V172" s="162"/>
      <c r="W172" s="162"/>
      <c r="X172" s="162"/>
      <c r="Y172" s="162"/>
      <c r="Z172" s="162"/>
    </row>
    <row r="173" spans="1:26" x14ac:dyDescent="0.25">
      <c r="A173" s="32" t="s">
        <v>872</v>
      </c>
      <c r="B173" s="32" t="s">
        <v>889</v>
      </c>
      <c r="I173" s="32">
        <v>1</v>
      </c>
      <c r="O173" s="41">
        <f>C173*Prislapp!$C$2+D173*Prislapp!$D$2+E173*Prislapp!$E$2+F173*Prislapp!$F$2+G173*Prislapp!$G$2+H173*Prislapp!$H$2+I173*Prislapp!$I$2+J173*Prislapp!$J$2+K173*Prislapp!$K$2+L173*Prislapp!$L$2+M173*Prislapp!$M$2+N173*Prislapp!$N$2</f>
        <v>19097</v>
      </c>
      <c r="P173" s="41">
        <f>C173*Prislapp!$C$3+D173*Prislapp!$D$3+E173*Prislapp!$E$3+F173*Prislapp!$F$3+G173*Prislapp!$G$3+H173*Prislapp!$H$3+I173*Prislapp!$I$3+J173*Prislapp!$J$3+K173*Prislapp!$K$3+M173*Prislapp!$M$3+N173*Prislapp!$N$3</f>
        <v>16075</v>
      </c>
      <c r="Q173" s="41">
        <f>C173*Prislapp!$C$5+D173*Prislapp!$D$5+E173*Prislapp!$E$5+F173*Prislapp!$F$5+G173*Prislapp!$G$5+H173*Prislapp!$H$5+I173*Prislapp!$I$5+J173*Prislapp!$J$5+K173*Prislapp!$K$5+L173*Prislapp!$L$5+M173*Prislapp!$M$5+N173*Prislapp!$N$5</f>
        <v>5900</v>
      </c>
      <c r="R173" s="9">
        <f>VLOOKUP(A173,'Ansvar kurs'!$A$3:$B$219,2,FALSE)</f>
        <v>2193</v>
      </c>
      <c r="S173" s="162"/>
      <c r="T173" s="162"/>
      <c r="U173" s="162"/>
      <c r="V173" s="162"/>
      <c r="W173" s="162"/>
      <c r="X173" s="162"/>
      <c r="Y173" s="162"/>
      <c r="Z173" s="162"/>
    </row>
    <row r="174" spans="1:26" x14ac:dyDescent="0.25">
      <c r="A174" s="32" t="s">
        <v>621</v>
      </c>
      <c r="B174" s="32" t="s">
        <v>648</v>
      </c>
      <c r="K174" s="32">
        <v>1</v>
      </c>
      <c r="O174" s="41">
        <f>C174*Prislapp!$C$2+D174*Prislapp!$D$2+E174*Prislapp!$E$2+F174*Prislapp!$F$2+G174*Prislapp!$G$2+H174*Prislapp!$H$2+I174*Prislapp!$I$2+J174*Prislapp!$J$2+K174*Prislapp!$K$2+L174*Prislapp!$L$2+M174*Prislapp!$M$2+N174*Prislapp!$N$2</f>
        <v>24740</v>
      </c>
      <c r="P174" s="41">
        <f>C174*Prislapp!$C$3+D174*Prislapp!$D$3+E174*Prislapp!$E$3+F174*Prislapp!$F$3+G174*Prislapp!$G$3+H174*Prislapp!$H$3+I174*Prislapp!$I$3+J174*Prislapp!$J$3+K174*Prislapp!$K$3+M174*Prislapp!$M$3+N174*Prislapp!$N$3</f>
        <v>27503</v>
      </c>
      <c r="Q174" s="41">
        <f>C174*Prislapp!$C$5+D174*Prislapp!$D$5+E174*Prislapp!$E$5+F174*Prislapp!$F$5+G174*Prislapp!$G$5+H174*Prislapp!$H$5+I174*Prislapp!$I$5+J174*Prislapp!$J$5+K174*Prislapp!$K$5+L174*Prislapp!$L$5+M174*Prislapp!$M$5+N174*Prislapp!$N$5</f>
        <v>3500</v>
      </c>
      <c r="R174" s="9">
        <f>VLOOKUP(A174,'Ansvar kurs'!$A$3:$B$219,2,FALSE)</f>
        <v>5740</v>
      </c>
      <c r="S174" s="162"/>
      <c r="T174" s="162"/>
      <c r="U174" s="162"/>
      <c r="V174" s="162"/>
      <c r="W174" s="162"/>
      <c r="X174" s="162"/>
      <c r="Y174" s="162"/>
      <c r="Z174" s="162"/>
    </row>
    <row r="175" spans="1:26" x14ac:dyDescent="0.25">
      <c r="A175" s="238" t="s">
        <v>532</v>
      </c>
      <c r="B175" s="32" t="s">
        <v>537</v>
      </c>
      <c r="F175" s="32">
        <v>1</v>
      </c>
      <c r="O175" s="41">
        <f>C175*Prislapp!$C$2+D175*Prislapp!$D$2+E175*Prislapp!$E$2+F175*Prislapp!$F$2+G175*Prislapp!$G$2+H175*Prislapp!$H$2+I175*Prislapp!$I$2+J175*Prislapp!$J$2+K175*Prislapp!$K$2+L175*Prislapp!$L$2+M175*Prislapp!$M$2+N175*Prislapp!$N$2</f>
        <v>24104</v>
      </c>
      <c r="P175" s="41">
        <f>C175*Prislapp!$C$3+D175*Prislapp!$D$3+E175*Prislapp!$E$3+F175*Prislapp!$F$3+G175*Prislapp!$G$3+H175*Prislapp!$H$3+I175*Prislapp!$I$3+J175*Prislapp!$J$3+K175*Prislapp!$K$3+M175*Prislapp!$M$3+N175*Prislapp!$N$3</f>
        <v>31432</v>
      </c>
      <c r="Q175" s="41">
        <f>C175*Prislapp!$C$5+D175*Prislapp!$D$5+E175*Prislapp!$E$5+F175*Prislapp!$F$5+G175*Prislapp!$G$5+H175*Prislapp!$H$5+I175*Prislapp!$I$5+J175*Prislapp!$J$5+K175*Prislapp!$K$5+L175*Prislapp!$L$5+M175*Prislapp!$M$5+N175*Prislapp!$N$5</f>
        <v>5900</v>
      </c>
      <c r="R175" s="9">
        <f>VLOOKUP(A175,'Ansvar kurs'!$A$3:$B$219,2,FALSE)</f>
        <v>2193</v>
      </c>
      <c r="S175" s="162"/>
    </row>
    <row r="176" spans="1:26" x14ac:dyDescent="0.25">
      <c r="A176" s="238" t="s">
        <v>533</v>
      </c>
      <c r="B176" s="32" t="s">
        <v>538</v>
      </c>
      <c r="F176" s="32">
        <v>1</v>
      </c>
      <c r="O176" s="41">
        <f>C176*Prislapp!$C$2+D176*Prislapp!$D$2+E176*Prislapp!$E$2+F176*Prislapp!$F$2+G176*Prislapp!$G$2+H176*Prislapp!$H$2+I176*Prislapp!$I$2+J176*Prislapp!$J$2+K176*Prislapp!$K$2+L176*Prislapp!$L$2+M176*Prislapp!$M$2+N176*Prislapp!$N$2</f>
        <v>24104</v>
      </c>
      <c r="P176" s="41">
        <f>C176*Prislapp!$C$3+D176*Prislapp!$D$3+E176*Prislapp!$E$3+F176*Prislapp!$F$3+G176*Prislapp!$G$3+H176*Prislapp!$H$3+I176*Prislapp!$I$3+J176*Prislapp!$J$3+K176*Prislapp!$K$3+M176*Prislapp!$M$3+N176*Prislapp!$N$3</f>
        <v>31432</v>
      </c>
      <c r="Q176" s="41">
        <f>C176*Prislapp!$C$5+D176*Prislapp!$D$5+E176*Prislapp!$E$5+F176*Prislapp!$F$5+G176*Prislapp!$G$5+H176*Prislapp!$H$5+I176*Prislapp!$I$5+J176*Prislapp!$J$5+K176*Prislapp!$K$5+L176*Prislapp!$L$5+M176*Prislapp!$M$5+N176*Prislapp!$N$5</f>
        <v>5900</v>
      </c>
      <c r="R176" s="9">
        <f>VLOOKUP(A176,'Ansvar kurs'!$A$3:$B$219,2,FALSE)</f>
        <v>2193</v>
      </c>
      <c r="S176" s="162"/>
    </row>
    <row r="177" spans="1:20" x14ac:dyDescent="0.25">
      <c r="A177" s="238" t="s">
        <v>534</v>
      </c>
      <c r="B177" s="32" t="s">
        <v>539</v>
      </c>
      <c r="F177" s="32">
        <v>1</v>
      </c>
      <c r="O177" s="41">
        <f>C177*Prislapp!$C$2+D177*Prislapp!$D$2+E177*Prislapp!$E$2+F177*Prislapp!$F$2+G177*Prislapp!$G$2+H177*Prislapp!$H$2+I177*Prislapp!$I$2+J177*Prislapp!$J$2+K177*Prislapp!$K$2+L177*Prislapp!$L$2+M177*Prislapp!$M$2+N177*Prislapp!$N$2</f>
        <v>24104</v>
      </c>
      <c r="P177" s="41">
        <f>C177*Prislapp!$C$3+D177*Prislapp!$D$3+E177*Prislapp!$E$3+F177*Prislapp!$F$3+G177*Prislapp!$G$3+H177*Prislapp!$H$3+I177*Prislapp!$I$3+J177*Prislapp!$J$3+K177*Prislapp!$K$3+M177*Prislapp!$M$3+N177*Prislapp!$N$3</f>
        <v>31432</v>
      </c>
      <c r="Q177" s="41">
        <f>C177*Prislapp!$C$5+D177*Prislapp!$D$5+E177*Prislapp!$E$5+F177*Prislapp!$F$5+G177*Prislapp!$G$5+H177*Prislapp!$H$5+I177*Prislapp!$I$5+J177*Prislapp!$J$5+K177*Prislapp!$K$5+L177*Prislapp!$L$5+M177*Prislapp!$M$5+N177*Prislapp!$N$5</f>
        <v>5900</v>
      </c>
      <c r="R177" s="9">
        <f>VLOOKUP(A177,'Ansvar kurs'!$A$3:$B$219,2,FALSE)</f>
        <v>2193</v>
      </c>
      <c r="S177" s="162"/>
    </row>
    <row r="178" spans="1:20" x14ac:dyDescent="0.25">
      <c r="A178" s="238" t="s">
        <v>535</v>
      </c>
      <c r="B178" s="32" t="s">
        <v>540</v>
      </c>
      <c r="F178" s="32">
        <v>1</v>
      </c>
      <c r="O178" s="41">
        <f>C178*Prislapp!$C$2+D178*Prislapp!$D$2+E178*Prislapp!$E$2+F178*Prislapp!$F$2+G178*Prislapp!$G$2+H178*Prislapp!$H$2+I178*Prislapp!$I$2+J178*Prislapp!$J$2+K178*Prislapp!$K$2+L178*Prislapp!$L$2+M178*Prislapp!$M$2+N178*Prislapp!$N$2</f>
        <v>24104</v>
      </c>
      <c r="P178" s="41">
        <f>C178*Prislapp!$C$3+D178*Prislapp!$D$3+E178*Prislapp!$E$3+F178*Prislapp!$F$3+G178*Prislapp!$G$3+H178*Prislapp!$H$3+I178*Prislapp!$I$3+J178*Prislapp!$J$3+K178*Prislapp!$K$3+M178*Prislapp!$M$3+N178*Prislapp!$N$3</f>
        <v>31432</v>
      </c>
      <c r="Q178" s="41">
        <f>C178*Prislapp!$C$5+D178*Prislapp!$D$5+E178*Prislapp!$E$5+F178*Prislapp!$F$5+G178*Prislapp!$G$5+H178*Prislapp!$H$5+I178*Prislapp!$I$5+J178*Prislapp!$J$5+K178*Prislapp!$K$5+L178*Prislapp!$L$5+M178*Prislapp!$M$5+N178*Prislapp!$N$5</f>
        <v>5900</v>
      </c>
      <c r="R178" s="9">
        <f>VLOOKUP(A178,'Ansvar kurs'!$A$3:$B$219,2,FALSE)</f>
        <v>2180</v>
      </c>
      <c r="S178" s="162"/>
    </row>
    <row r="179" spans="1:20" x14ac:dyDescent="0.25">
      <c r="A179" s="238" t="s">
        <v>536</v>
      </c>
      <c r="B179" s="32" t="s">
        <v>541</v>
      </c>
      <c r="F179" s="32">
        <v>1</v>
      </c>
      <c r="O179" s="41">
        <f>C179*Prislapp!$C$2+D179*Prislapp!$D$2+E179*Prislapp!$E$2+F179*Prislapp!$F$2+G179*Prislapp!$G$2+H179*Prislapp!$H$2+I179*Prislapp!$I$2+J179*Prislapp!$J$2+K179*Prislapp!$K$2+L179*Prislapp!$L$2+M179*Prislapp!$M$2+N179*Prislapp!$N$2</f>
        <v>24104</v>
      </c>
      <c r="P179" s="41">
        <f>C179*Prislapp!$C$3+D179*Prislapp!$D$3+E179*Prislapp!$E$3+F179*Prislapp!$F$3+G179*Prislapp!$G$3+H179*Prislapp!$H$3+I179*Prislapp!$I$3+J179*Prislapp!$J$3+K179*Prislapp!$K$3+M179*Prislapp!$M$3+N179*Prislapp!$N$3</f>
        <v>31432</v>
      </c>
      <c r="Q179" s="41">
        <f>C179*Prislapp!$C$5+D179*Prislapp!$D$5+E179*Prislapp!$E$5+F179*Prislapp!$F$5+G179*Prislapp!$G$5+H179*Prislapp!$H$5+I179*Prislapp!$I$5+J179*Prislapp!$J$5+K179*Prislapp!$K$5+L179*Prislapp!$L$5+M179*Prislapp!$M$5+N179*Prislapp!$N$5</f>
        <v>5900</v>
      </c>
      <c r="R179" s="9">
        <f>VLOOKUP(A179,'Ansvar kurs'!$A$3:$B$219,2,FALSE)</f>
        <v>2180</v>
      </c>
      <c r="S179" s="162"/>
    </row>
    <row r="180" spans="1:20" x14ac:dyDescent="0.25">
      <c r="A180" s="238" t="s">
        <v>542</v>
      </c>
      <c r="B180" t="s">
        <v>658</v>
      </c>
      <c r="F180" s="32">
        <v>1</v>
      </c>
      <c r="O180" s="41">
        <f>C180*Prislapp!$C$2+D180*Prislapp!$D$2+E180*Prislapp!$E$2+F180*Prislapp!$F$2+G180*Prislapp!$G$2+H180*Prislapp!$H$2+I180*Prislapp!$I$2+J180*Prislapp!$J$2+K180*Prislapp!$K$2+L180*Prislapp!$L$2+M180*Prislapp!$M$2+N180*Prislapp!$N$2</f>
        <v>24104</v>
      </c>
      <c r="P180" s="41">
        <f>C180*Prislapp!$C$3+D180*Prislapp!$D$3+E180*Prislapp!$E$3+F180*Prislapp!$F$3+G180*Prislapp!$G$3+H180*Prislapp!$H$3+I180*Prislapp!$I$3+J180*Prislapp!$J$3+K180*Prislapp!$K$3+M180*Prislapp!$M$3+N180*Prislapp!$N$3</f>
        <v>31432</v>
      </c>
      <c r="Q180" s="41">
        <f>C180*Prislapp!$C$5+D180*Prislapp!$D$5+E180*Prislapp!$E$5+F180*Prislapp!$F$5+G180*Prislapp!$G$5+H180*Prislapp!$H$5+I180*Prislapp!$I$5+J180*Prislapp!$J$5+K180*Prislapp!$K$5+L180*Prislapp!$L$5+M180*Prislapp!$M$5+N180*Prislapp!$N$5</f>
        <v>5900</v>
      </c>
      <c r="R180" s="9">
        <f>VLOOKUP(A180,'Ansvar kurs'!$A$3:$B$219,2,FALSE)</f>
        <v>2180</v>
      </c>
      <c r="S180" s="162"/>
    </row>
    <row r="181" spans="1:20" x14ac:dyDescent="0.25">
      <c r="A181" s="238" t="s">
        <v>681</v>
      </c>
      <c r="B181" t="s">
        <v>691</v>
      </c>
      <c r="H181" s="32">
        <v>1</v>
      </c>
      <c r="O181" s="41">
        <f>C181*Prislapp!$C$2+D181*Prislapp!$D$2+E181*Prislapp!$E$2+F181*Prislapp!$F$2+G181*Prislapp!$G$2+H181*Prislapp!$H$2+I181*Prislapp!$I$2+J181*Prislapp!$J$2+K181*Prislapp!$K$2+L181*Prislapp!$L$2+M181*Prislapp!$M$2+N181*Prislapp!$N$2</f>
        <v>19863</v>
      </c>
      <c r="P181" s="41">
        <f>C181*Prislapp!$C$3+D181*Prislapp!$D$3+E181*Prislapp!$E$3+F181*Prislapp!$F$3+G181*Prislapp!$G$3+H181*Prislapp!$H$3+I181*Prislapp!$I$3+J181*Prislapp!$J$3+K181*Prislapp!$K$3+M181*Prislapp!$M$3+N181*Prislapp!$N$3</f>
        <v>35472</v>
      </c>
      <c r="Q181" s="41">
        <f>C181*Prislapp!$C$5+D181*Prislapp!$D$5+E181*Prislapp!$E$5+F181*Prislapp!$F$5+G181*Prislapp!$G$5+H181*Prislapp!$H$5+I181*Prislapp!$I$5+J181*Prislapp!$J$5+K181*Prislapp!$K$5+L181*Prislapp!$L$5+M181*Prislapp!$M$5+N181*Prislapp!$N$5</f>
        <v>22200</v>
      </c>
      <c r="R181" s="9">
        <f>VLOOKUP(A181,'Ansvar kurs'!$A$3:$B$219,2,FALSE)</f>
        <v>5740</v>
      </c>
      <c r="S181" s="162"/>
    </row>
    <row r="182" spans="1:20" x14ac:dyDescent="0.25">
      <c r="A182" s="238" t="s">
        <v>785</v>
      </c>
      <c r="B182" t="s">
        <v>804</v>
      </c>
      <c r="H182" s="32">
        <v>1</v>
      </c>
      <c r="O182" s="41">
        <f>C182*Prislapp!$C$2+D182*Prislapp!$D$2+E182*Prislapp!$E$2+F182*Prislapp!$F$2+G182*Prislapp!$G$2+H182*Prislapp!$H$2+I182*Prislapp!$I$2+J182*Prislapp!$J$2+K182*Prislapp!$K$2+L182*Prislapp!$L$2+M182*Prislapp!$M$2+N182*Prislapp!$N$2</f>
        <v>19863</v>
      </c>
      <c r="P182" s="41">
        <f>C182*Prislapp!$C$3+D182*Prislapp!$D$3+E182*Prislapp!$E$3+F182*Prislapp!$F$3+G182*Prislapp!$G$3+H182*Prislapp!$H$3+I182*Prislapp!$I$3+J182*Prislapp!$J$3+K182*Prislapp!$K$3+M182*Prislapp!$M$3+N182*Prislapp!$N$3</f>
        <v>35472</v>
      </c>
      <c r="Q182" s="41">
        <f>C182*Prislapp!$C$5+D182*Prislapp!$D$5+E182*Prislapp!$E$5+F182*Prislapp!$F$5+G182*Prislapp!$G$5+H182*Prislapp!$H$5+I182*Prislapp!$I$5+J182*Prislapp!$J$5+K182*Prislapp!$K$5+L182*Prislapp!$L$5+M182*Prislapp!$M$5+N182*Prislapp!$N$5</f>
        <v>22200</v>
      </c>
      <c r="R182" s="9">
        <f>VLOOKUP(A182,'Ansvar kurs'!$A$3:$B$219,2,FALSE)</f>
        <v>5740</v>
      </c>
      <c r="S182" s="162"/>
    </row>
    <row r="183" spans="1:20" x14ac:dyDescent="0.25">
      <c r="A183" s="238" t="s">
        <v>786</v>
      </c>
      <c r="B183" t="s">
        <v>805</v>
      </c>
      <c r="K183" s="32">
        <v>1</v>
      </c>
      <c r="O183" s="41">
        <f>C183*Prislapp!$C$2+D183*Prislapp!$D$2+E183*Prislapp!$E$2+F183*Prislapp!$F$2+G183*Prislapp!$G$2+H183*Prislapp!$H$2+I183*Prislapp!$I$2+J183*Prislapp!$J$2+K183*Prislapp!$K$2+L183*Prislapp!$L$2+M183*Prislapp!$M$2+N183*Prislapp!$N$2</f>
        <v>24740</v>
      </c>
      <c r="P183" s="41">
        <f>C183*Prislapp!$C$3+D183*Prislapp!$D$3+E183*Prislapp!$E$3+F183*Prislapp!$F$3+G183*Prislapp!$G$3+H183*Prislapp!$H$3+I183*Prislapp!$I$3+J183*Prislapp!$J$3+K183*Prislapp!$K$3+M183*Prislapp!$M$3+N183*Prislapp!$N$3</f>
        <v>27503</v>
      </c>
      <c r="Q183" s="41">
        <f>C183*Prislapp!$C$5+D183*Prislapp!$D$5+E183*Prislapp!$E$5+F183*Prislapp!$F$5+G183*Prislapp!$G$5+H183*Prislapp!$H$5+I183*Prislapp!$I$5+J183*Prislapp!$J$5+K183*Prislapp!$K$5+L183*Prislapp!$L$5+M183*Prislapp!$M$5+N183*Prislapp!$N$5</f>
        <v>3500</v>
      </c>
      <c r="R183" s="9">
        <f>VLOOKUP(A183,'Ansvar kurs'!$A$3:$B$219,2,FALSE)</f>
        <v>5740</v>
      </c>
      <c r="S183" s="162"/>
    </row>
    <row r="184" spans="1:20" x14ac:dyDescent="0.25">
      <c r="A184" s="239" t="s">
        <v>653</v>
      </c>
      <c r="B184" t="s">
        <v>657</v>
      </c>
      <c r="F184" s="32">
        <v>1</v>
      </c>
      <c r="O184" s="41">
        <f>C184*Prislapp!$C$2+D184*Prislapp!$D$2+E184*Prislapp!$E$2+F184*Prislapp!$F$2+G184*Prislapp!$G$2+H184*Prislapp!$H$2+I184*Prislapp!$I$2+J184*Prislapp!$J$2+K184*Prislapp!$K$2+L184*Prislapp!$L$2+M184*Prislapp!$M$2+N184*Prislapp!$N$2</f>
        <v>24104</v>
      </c>
      <c r="P184" s="41">
        <f>C184*Prislapp!$C$3+D184*Prislapp!$D$3+E184*Prislapp!$E$3+F184*Prislapp!$F$3+G184*Prislapp!$G$3+H184*Prislapp!$H$3+I184*Prislapp!$I$3+J184*Prislapp!$J$3+K184*Prislapp!$K$3+M184*Prislapp!$M$3+N184*Prislapp!$N$3</f>
        <v>31432</v>
      </c>
      <c r="Q184" s="41">
        <f>C184*Prislapp!$C$5+D184*Prislapp!$D$5+E184*Prislapp!$E$5+F184*Prislapp!$F$5+G184*Prislapp!$G$5+H184*Prislapp!$H$5+I184*Prislapp!$I$5+J184*Prislapp!$J$5+K184*Prislapp!$K$5+L184*Prislapp!$L$5+M184*Prislapp!$M$5+N184*Prislapp!$N$5</f>
        <v>5900</v>
      </c>
      <c r="R184" s="9">
        <f>VLOOKUP(A184,'Ansvar kurs'!$A$3:$B$219,2,FALSE)</f>
        <v>2193</v>
      </c>
      <c r="S184" s="185"/>
    </row>
    <row r="185" spans="1:20" x14ac:dyDescent="0.25">
      <c r="A185" s="239" t="s">
        <v>654</v>
      </c>
      <c r="B185" t="s">
        <v>657</v>
      </c>
      <c r="F185" s="32">
        <v>1</v>
      </c>
      <c r="O185" s="41">
        <f>C185*Prislapp!$C$2+D185*Prislapp!$D$2+E185*Prislapp!$E$2+F185*Prislapp!$F$2+G185*Prislapp!$G$2+H185*Prislapp!$H$2+I185*Prislapp!$I$2+J185*Prislapp!$J$2+K185*Prislapp!$K$2+L185*Prislapp!$L$2+M185*Prislapp!$M$2+N185*Prislapp!$N$2</f>
        <v>24104</v>
      </c>
      <c r="P185" s="41">
        <f>C185*Prislapp!$C$3+D185*Prislapp!$D$3+E185*Prislapp!$E$3+F185*Prislapp!$F$3+G185*Prislapp!$G$3+H185*Prislapp!$H$3+I185*Prislapp!$I$3+J185*Prislapp!$J$3+K185*Prislapp!$K$3+M185*Prislapp!$M$3+N185*Prislapp!$N$3</f>
        <v>31432</v>
      </c>
      <c r="Q185" s="41">
        <f>C185*Prislapp!$C$5+D185*Prislapp!$D$5+E185*Prislapp!$E$5+F185*Prislapp!$F$5+G185*Prislapp!$G$5+H185*Prislapp!$H$5+I185*Prislapp!$I$5+J185*Prislapp!$J$5+K185*Prislapp!$K$5+L185*Prislapp!$L$5+M185*Prislapp!$M$5+N185*Prislapp!$N$5</f>
        <v>5900</v>
      </c>
      <c r="R185" s="9">
        <f>VLOOKUP(A185,'Ansvar kurs'!$A$3:$B$219,2,FALSE)</f>
        <v>2193</v>
      </c>
      <c r="S185" s="185"/>
    </row>
    <row r="186" spans="1:20" x14ac:dyDescent="0.25">
      <c r="A186" s="239" t="s">
        <v>873</v>
      </c>
      <c r="B186" t="s">
        <v>890</v>
      </c>
      <c r="I186" s="32">
        <v>1</v>
      </c>
      <c r="O186" s="41">
        <f>C186*Prislapp!$C$2+D186*Prislapp!$D$2+E186*Prislapp!$E$2+F186*Prislapp!$F$2+G186*Prislapp!$G$2+H186*Prislapp!$H$2+I186*Prislapp!$I$2+J186*Prislapp!$J$2+K186*Prislapp!$K$2+L186*Prislapp!$L$2+M186*Prislapp!$M$2+N186*Prislapp!$N$2</f>
        <v>19097</v>
      </c>
      <c r="P186" s="41">
        <f>C186*Prislapp!$C$3+D186*Prislapp!$D$3+E186*Prislapp!$E$3+F186*Prislapp!$F$3+G186*Prislapp!$G$3+H186*Prislapp!$H$3+I186*Prislapp!$I$3+J186*Prislapp!$J$3+K186*Prislapp!$K$3+M186*Prislapp!$M$3+N186*Prislapp!$N$3</f>
        <v>16075</v>
      </c>
      <c r="Q186" s="41">
        <f>C186*Prislapp!$C$5+D186*Prislapp!$D$5+E186*Prislapp!$E$5+F186*Prislapp!$F$5+G186*Prislapp!$G$5+H186*Prislapp!$H$5+I186*Prislapp!$I$5+J186*Prislapp!$J$5+K186*Prislapp!$K$5+L186*Prislapp!$L$5+M186*Prislapp!$M$5+N186*Prislapp!$N$5</f>
        <v>5900</v>
      </c>
      <c r="R186" s="9">
        <f>VLOOKUP(A186,'Ansvar kurs'!$A$3:$B$219,2,FALSE)</f>
        <v>2193</v>
      </c>
      <c r="S186" s="185"/>
    </row>
    <row r="187" spans="1:20" x14ac:dyDescent="0.25">
      <c r="A187" s="239" t="s">
        <v>915</v>
      </c>
      <c r="B187" s="32" t="s">
        <v>918</v>
      </c>
      <c r="D187" s="32">
        <v>1</v>
      </c>
      <c r="O187" s="41">
        <f>C187*Prislapp!$C$2+D187*Prislapp!$D$2+E187*Prislapp!$E$2+F187*Prislapp!$F$2+G187*Prislapp!$G$2+H187*Prislapp!$H$2+I187*Prislapp!$I$2+J187*Prislapp!$J$2+K187*Prislapp!$K$2+L187*Prislapp!$L$2+M187*Prislapp!$M$2+N187*Prislapp!$N$2</f>
        <v>19097</v>
      </c>
      <c r="P187" s="41">
        <f>C187*Prislapp!$C$3+D187*Prislapp!$D$3+E187*Prislapp!$E$3+F187*Prislapp!$F$3+G187*Prislapp!$G$3+H187*Prislapp!$H$3+I187*Prislapp!$I$3+J187*Prislapp!$J$3+K187*Prislapp!$K$3+M187*Prislapp!$M$3+N187*Prislapp!$N$3</f>
        <v>16075</v>
      </c>
      <c r="Q187" s="41">
        <f>C187*Prislapp!$C$5+D187*Prislapp!$D$5+E187*Prislapp!$E$5+F187*Prislapp!$F$5+G187*Prislapp!$G$5+H187*Prislapp!$H$5+I187*Prislapp!$I$5+J187*Prislapp!$J$5+K187*Prislapp!$K$5+L187*Prislapp!$L$5+M187*Prislapp!$M$5+N187*Prislapp!$N$5</f>
        <v>5900</v>
      </c>
      <c r="R187" s="9">
        <f>VLOOKUP(A187,'Ansvar kurs'!$A$3:$B$219,2,FALSE)</f>
        <v>1620</v>
      </c>
      <c r="S187" s="185"/>
    </row>
    <row r="188" spans="1:20" x14ac:dyDescent="0.25">
      <c r="A188" s="239" t="s">
        <v>682</v>
      </c>
      <c r="B188" t="s">
        <v>692</v>
      </c>
      <c r="D188" s="32">
        <v>1</v>
      </c>
      <c r="O188" s="41">
        <f>C188*Prislapp!$C$2+D188*Prislapp!$D$2+E188*Prislapp!$E$2+F188*Prislapp!$F$2+G188*Prislapp!$G$2+H188*Prislapp!$H$2+I188*Prislapp!$I$2+J188*Prislapp!$J$2+K188*Prislapp!$K$2+L188*Prislapp!$L$2+M188*Prislapp!$M$2+N188*Prislapp!$N$2</f>
        <v>19097</v>
      </c>
      <c r="P188" s="41">
        <f>C188*Prislapp!$C$3+D188*Prislapp!$D$3+E188*Prislapp!$E$3+F188*Prislapp!$F$3+G188*Prislapp!$G$3+H188*Prislapp!$H$3+I188*Prislapp!$I$3+J188*Prislapp!$J$3+K188*Prislapp!$K$3+M188*Prislapp!$M$3+N188*Prislapp!$N$3</f>
        <v>16075</v>
      </c>
      <c r="Q188" s="41">
        <f>C188*Prislapp!$C$5+D188*Prislapp!$D$5+E188*Prislapp!$E$5+F188*Prislapp!$F$5+G188*Prislapp!$G$5+H188*Prislapp!$H$5+I188*Prislapp!$I$5+J188*Prislapp!$J$5+K188*Prislapp!$K$5+L188*Prislapp!$L$5+M188*Prislapp!$M$5+N188*Prislapp!$N$5</f>
        <v>5900</v>
      </c>
      <c r="R188" s="9">
        <f>VLOOKUP(A188,'Ansvar kurs'!$A$3:$B$219,2,FALSE)</f>
        <v>1620</v>
      </c>
      <c r="S188" s="185"/>
    </row>
    <row r="189" spans="1:20" x14ac:dyDescent="0.25">
      <c r="A189" s="238" t="s">
        <v>579</v>
      </c>
      <c r="B189" t="s">
        <v>589</v>
      </c>
      <c r="D189" s="32">
        <v>1</v>
      </c>
      <c r="O189" s="41">
        <f>C189*Prislapp!$C$2+D189*Prislapp!$D$2+E189*Prislapp!$E$2+F189*Prislapp!$F$2+G189*Prislapp!$G$2+H189*Prislapp!$H$2+I189*Prislapp!$I$2+J189*Prislapp!$J$2+K189*Prislapp!$K$2+L189*Prislapp!$L$2+M189*Prislapp!$M$2+N189*Prislapp!$N$2</f>
        <v>19097</v>
      </c>
      <c r="P189" s="41">
        <f>C189*Prislapp!$C$3+D189*Prislapp!$D$3+E189*Prislapp!$E$3+F189*Prislapp!$F$3+G189*Prislapp!$G$3+H189*Prislapp!$H$3+I189*Prislapp!$I$3+J189*Prislapp!$J$3+K189*Prislapp!$K$3+M189*Prislapp!$M$3+N189*Prislapp!$N$3</f>
        <v>16075</v>
      </c>
      <c r="Q189" s="41">
        <f>C189*Prislapp!$C$5+D189*Prislapp!$D$5+E189*Prislapp!$E$5+F189*Prislapp!$F$5+G189*Prislapp!$G$5+H189*Prislapp!$H$5+I189*Prislapp!$I$5+J189*Prislapp!$J$5+K189*Prislapp!$K$5+L189*Prislapp!$L$5+M189*Prislapp!$M$5+N189*Prislapp!$N$5</f>
        <v>5900</v>
      </c>
      <c r="R189" s="9">
        <f>VLOOKUP(A189,'Ansvar kurs'!$A$3:$B$219,2,FALSE)</f>
        <v>2340</v>
      </c>
      <c r="S189" s="162"/>
    </row>
    <row r="190" spans="1:20" x14ac:dyDescent="0.25">
      <c r="A190" s="32" t="s">
        <v>107</v>
      </c>
      <c r="B190" s="32" t="s">
        <v>95</v>
      </c>
      <c r="J190" s="32">
        <v>1</v>
      </c>
      <c r="O190" s="41">
        <f>C190*Prislapp!$C$2+D190*Prislapp!$D$2+E190*Prislapp!$E$2+F190*Prislapp!$F$2+G190*Prislapp!$G$2+H190*Prislapp!$H$2+I190*Prislapp!$I$2+J190*Prislapp!$J$2+K190*Prislapp!$K$2+L190*Prislapp!$L$2+M190*Prislapp!$M$2+N190*Prislapp!$N$2</f>
        <v>19863</v>
      </c>
      <c r="P190" s="41">
        <f>C190*Prislapp!$C$3+D190*Prislapp!$D$3+E190*Prislapp!$E$3+F190*Prislapp!$F$3+G190*Prislapp!$G$3+H190*Prislapp!$H$3+I190*Prislapp!$I$3+J190*Prislapp!$J$3+K190*Prislapp!$K$3+M190*Prislapp!$M$3+N190*Prislapp!$N$3</f>
        <v>35472</v>
      </c>
      <c r="Q190" s="41">
        <f>C190*Prislapp!$C$5+D190*Prislapp!$D$5+E190*Prislapp!$E$5+F190*Prislapp!$F$5+G190*Prislapp!$G$5+H190*Prislapp!$H$5+I190*Prislapp!$I$5+J190*Prislapp!$J$5+K190*Prislapp!$K$5+L190*Prislapp!$L$5+M190*Prislapp!$M$5+N190*Prislapp!$N$5</f>
        <v>22200</v>
      </c>
      <c r="R190" s="9">
        <f>VLOOKUP(A190,'Ansvar kurs'!$A$3:$B$219,2,FALSE)</f>
        <v>1650</v>
      </c>
      <c r="S190" s="185"/>
      <c r="T190" s="185"/>
    </row>
    <row r="191" spans="1:20" x14ac:dyDescent="0.25">
      <c r="A191" s="32" t="s">
        <v>73</v>
      </c>
      <c r="B191" s="32" t="s">
        <v>282</v>
      </c>
      <c r="J191" s="32">
        <v>1</v>
      </c>
      <c r="O191" s="41">
        <f>C191*Prislapp!$C$2+D191*Prislapp!$D$2+E191*Prislapp!$E$2+F191*Prislapp!$F$2+G191*Prislapp!$G$2+H191*Prislapp!$H$2+I191*Prislapp!$I$2+J191*Prislapp!$J$2+K191*Prislapp!$K$2+L191*Prislapp!$L$2+M191*Prislapp!$M$2+N191*Prislapp!$N$2</f>
        <v>19863</v>
      </c>
      <c r="P191" s="41">
        <f>C191*Prislapp!$C$3+D191*Prislapp!$D$3+E191*Prislapp!$E$3+F191*Prislapp!$F$3+G191*Prislapp!$G$3+H191*Prislapp!$H$3+I191*Prislapp!$I$3+J191*Prislapp!$J$3+K191*Prislapp!$K$3+M191*Prislapp!$M$3+N191*Prislapp!$N$3</f>
        <v>35472</v>
      </c>
      <c r="Q191" s="41">
        <f>C191*Prislapp!$C$5+D191*Prislapp!$D$5+E191*Prislapp!$E$5+F191*Prislapp!$F$5+G191*Prislapp!$G$5+H191*Prislapp!$H$5+I191*Prislapp!$I$5+J191*Prislapp!$J$5+K191*Prislapp!$K$5+L191*Prislapp!$L$5+M191*Prislapp!$M$5+N191*Prislapp!$N$5</f>
        <v>22200</v>
      </c>
      <c r="R191" s="9">
        <f>VLOOKUP(A191,'Ansvar kurs'!$A$3:$B$219,2,FALSE)</f>
        <v>1650</v>
      </c>
      <c r="S191" s="185"/>
      <c r="T191" s="185"/>
    </row>
    <row r="192" spans="1:20" x14ac:dyDescent="0.25">
      <c r="A192" s="32" t="s">
        <v>382</v>
      </c>
      <c r="B192" s="32" t="s">
        <v>391</v>
      </c>
      <c r="J192" s="32">
        <v>1</v>
      </c>
      <c r="O192" s="41">
        <f>C192*Prislapp!$C$2+D192*Prislapp!$D$2+E192*Prislapp!$E$2+F192*Prislapp!$F$2+G192*Prislapp!$G$2+H192*Prislapp!$H$2+I192*Prislapp!$I$2+J192*Prislapp!$J$2+K192*Prislapp!$K$2+L192*Prislapp!$L$2+M192*Prislapp!$M$2+N192*Prislapp!$N$2</f>
        <v>19863</v>
      </c>
      <c r="P192" s="41">
        <f>C192*Prislapp!$C$3+D192*Prislapp!$D$3+E192*Prislapp!$E$3+F192*Prislapp!$F$3+G192*Prislapp!$G$3+H192*Prislapp!$H$3+I192*Prislapp!$I$3+J192*Prislapp!$J$3+K192*Prislapp!$K$3+M192*Prislapp!$M$3+N192*Prislapp!$N$3</f>
        <v>35472</v>
      </c>
      <c r="Q192" s="41">
        <f>C192*Prislapp!$C$5+D192*Prislapp!$D$5+E192*Prislapp!$E$5+F192*Prislapp!$F$5+G192*Prislapp!$G$5+H192*Prislapp!$H$5+I192*Prislapp!$I$5+J192*Prislapp!$J$5+K192*Prislapp!$K$5+L192*Prislapp!$L$5+M192*Prislapp!$M$5+N192*Prislapp!$N$5</f>
        <v>22200</v>
      </c>
      <c r="R192" s="9">
        <f>VLOOKUP(A192,'Ansvar kurs'!$A$3:$B$219,2,FALSE)</f>
        <v>1650</v>
      </c>
    </row>
    <row r="193" spans="1:20" x14ac:dyDescent="0.25">
      <c r="A193" s="32" t="s">
        <v>398</v>
      </c>
      <c r="B193" s="32" t="s">
        <v>427</v>
      </c>
      <c r="J193" s="32">
        <v>1</v>
      </c>
      <c r="O193" s="41">
        <f>C193*Prislapp!$C$2+D193*Prislapp!$D$2+E193*Prislapp!$E$2+F193*Prislapp!$F$2+G193*Prislapp!$G$2+H193*Prislapp!$H$2+I193*Prislapp!$I$2+J193*Prislapp!$J$2+K193*Prislapp!$K$2+L193*Prislapp!$L$2+M193*Prislapp!$M$2+N193*Prislapp!$N$2</f>
        <v>19863</v>
      </c>
      <c r="P193" s="41">
        <f>C193*Prislapp!$C$3+D193*Prislapp!$D$3+E193*Prislapp!$E$3+F193*Prislapp!$F$3+G193*Prislapp!$G$3+H193*Prislapp!$H$3+I193*Prislapp!$I$3+J193*Prislapp!$J$3+K193*Prislapp!$K$3+M193*Prislapp!$M$3+N193*Prislapp!$N$3</f>
        <v>35472</v>
      </c>
      <c r="Q193" s="41">
        <f>C193*Prislapp!$C$5+D193*Prislapp!$D$5+E193*Prislapp!$E$5+F193*Prislapp!$F$5+G193*Prislapp!$G$5+H193*Prislapp!$H$5+I193*Prislapp!$I$5+J193*Prislapp!$J$5+K193*Prislapp!$K$5+L193*Prislapp!$L$5+M193*Prislapp!$M$5+N193*Prislapp!$N$5</f>
        <v>22200</v>
      </c>
      <c r="R193" s="9">
        <f>VLOOKUP(A193,'Ansvar kurs'!$A$3:$B$219,2,FALSE)</f>
        <v>1650</v>
      </c>
      <c r="S193" s="185"/>
      <c r="T193" s="185"/>
    </row>
    <row r="194" spans="1:20" x14ac:dyDescent="0.25">
      <c r="A194" s="32" t="s">
        <v>411</v>
      </c>
      <c r="B194" s="32" t="s">
        <v>435</v>
      </c>
      <c r="J194" s="32">
        <v>1</v>
      </c>
      <c r="O194" s="41">
        <f>C194*Prislapp!$C$2+D194*Prislapp!$D$2+E194*Prislapp!$E$2+F194*Prislapp!$F$2+G194*Prislapp!$G$2+H194*Prislapp!$H$2+I194*Prislapp!$I$2+J194*Prislapp!$J$2+K194*Prislapp!$K$2+L194*Prislapp!$L$2+M194*Prislapp!$M$2+N194*Prislapp!$N$2</f>
        <v>19863</v>
      </c>
      <c r="P194" s="41">
        <f>C194*Prislapp!$C$3+D194*Prislapp!$D$3+E194*Prislapp!$E$3+F194*Prislapp!$F$3+G194*Prislapp!$G$3+H194*Prislapp!$H$3+I194*Prislapp!$I$3+J194*Prislapp!$J$3+K194*Prislapp!$K$3+M194*Prislapp!$M$3+N194*Prislapp!$N$3</f>
        <v>35472</v>
      </c>
      <c r="Q194" s="41">
        <f>C194*Prislapp!$C$5+D194*Prislapp!$D$5+E194*Prislapp!$E$5+F194*Prislapp!$F$5+G194*Prislapp!$G$5+H194*Prislapp!$H$5+I194*Prislapp!$I$5+J194*Prislapp!$J$5+K194*Prislapp!$K$5+L194*Prislapp!$L$5+M194*Prislapp!$M$5+N194*Prislapp!$N$5</f>
        <v>22200</v>
      </c>
      <c r="R194" s="9">
        <f>VLOOKUP(A194,'Ansvar kurs'!$A$3:$B$219,2,FALSE)</f>
        <v>1650</v>
      </c>
      <c r="S194" s="185"/>
      <c r="T194" s="185"/>
    </row>
    <row r="195" spans="1:20" x14ac:dyDescent="0.25">
      <c r="A195" s="32" t="s">
        <v>748</v>
      </c>
      <c r="B195" s="32" t="s">
        <v>757</v>
      </c>
      <c r="J195" s="32">
        <v>1</v>
      </c>
      <c r="O195" s="41">
        <f>C195*Prislapp!$C$2+D195*Prislapp!$D$2+E195*Prislapp!$E$2+F195*Prislapp!$F$2+G195*Prislapp!$G$2+H195*Prislapp!$H$2+I195*Prislapp!$I$2+J195*Prislapp!$J$2+K195*Prislapp!$K$2+L195*Prislapp!$L$2+M195*Prislapp!$M$2+N195*Prislapp!$N$2</f>
        <v>19863</v>
      </c>
      <c r="P195" s="41">
        <f>C195*Prislapp!$C$3+D195*Prislapp!$D$3+E195*Prislapp!$E$3+F195*Prislapp!$F$3+G195*Prislapp!$G$3+H195*Prislapp!$H$3+I195*Prislapp!$I$3+J195*Prislapp!$J$3+K195*Prislapp!$K$3+M195*Prislapp!$M$3+N195*Prislapp!$N$3</f>
        <v>35472</v>
      </c>
      <c r="Q195" s="41">
        <f>C195*Prislapp!$C$5+D195*Prislapp!$D$5+E195*Prislapp!$E$5+F195*Prislapp!$F$5+G195*Prislapp!$G$5+H195*Prislapp!$H$5+I195*Prislapp!$I$5+J195*Prislapp!$J$5+K195*Prislapp!$K$5+L195*Prislapp!$L$5+M195*Prislapp!$M$5+N195*Prislapp!$N$5</f>
        <v>22200</v>
      </c>
      <c r="R195" s="9">
        <f>VLOOKUP(A195,'Ansvar kurs'!$A$3:$B$219,2,FALSE)</f>
        <v>1650</v>
      </c>
      <c r="S195" s="185"/>
      <c r="T195" s="185"/>
    </row>
    <row r="196" spans="1:20" x14ac:dyDescent="0.25">
      <c r="A196" s="32" t="s">
        <v>574</v>
      </c>
      <c r="B196" s="32" t="s">
        <v>586</v>
      </c>
      <c r="J196" s="32">
        <v>1</v>
      </c>
      <c r="O196" s="41">
        <f>C196*Prislapp!$C$2+D196*Prislapp!$D$2+E196*Prislapp!$E$2+F196*Prislapp!$F$2+G196*Prislapp!$G$2+H196*Prislapp!$H$2+I196*Prislapp!$I$2+J196*Prislapp!$J$2+K196*Prislapp!$K$2+L196*Prislapp!$L$2+M196*Prislapp!$M$2+N196*Prislapp!$N$2</f>
        <v>19863</v>
      </c>
      <c r="P196" s="41">
        <f>C196*Prislapp!$C$3+D196*Prislapp!$D$3+E196*Prislapp!$E$3+F196*Prislapp!$F$3+G196*Prislapp!$G$3+H196*Prislapp!$H$3+I196*Prislapp!$I$3+J196*Prislapp!$J$3+K196*Prislapp!$K$3+M196*Prislapp!$M$3+N196*Prislapp!$N$3</f>
        <v>35472</v>
      </c>
      <c r="Q196" s="41">
        <f>C196*Prislapp!$C$5+D196*Prislapp!$D$5+E196*Prislapp!$E$5+F196*Prislapp!$F$5+G196*Prislapp!$G$5+H196*Prislapp!$H$5+I196*Prislapp!$I$5+J196*Prislapp!$J$5+K196*Prislapp!$K$5+L196*Prislapp!$L$5+M196*Prislapp!$M$5+N196*Prislapp!$N$5</f>
        <v>22200</v>
      </c>
      <c r="R196" s="9">
        <f>VLOOKUP(A196,'Ansvar kurs'!$A$3:$B$219,2,FALSE)</f>
        <v>1650</v>
      </c>
      <c r="S196" s="185"/>
      <c r="T196" s="185"/>
    </row>
    <row r="197" spans="1:20" x14ac:dyDescent="0.25">
      <c r="A197" s="59" t="s">
        <v>655</v>
      </c>
      <c r="B197" s="32" t="s">
        <v>656</v>
      </c>
      <c r="J197" s="32">
        <v>1</v>
      </c>
      <c r="O197" s="41">
        <f>C197*Prislapp!$C$2+D197*Prislapp!$D$2+E197*Prislapp!$E$2+F197*Prislapp!$F$2+G197*Prislapp!$G$2+H197*Prislapp!$H$2+I197*Prislapp!$I$2+J197*Prislapp!$J$2+K197*Prislapp!$K$2+L197*Prislapp!$L$2+M197*Prislapp!$M$2+N197*Prislapp!$N$2</f>
        <v>19863</v>
      </c>
      <c r="P197" s="41">
        <f>C197*Prislapp!$C$3+D197*Prislapp!$D$3+E197*Prislapp!$E$3+F197*Prislapp!$F$3+G197*Prislapp!$G$3+H197*Prislapp!$H$3+I197*Prislapp!$I$3+J197*Prislapp!$J$3+K197*Prislapp!$K$3+M197*Prislapp!$M$3+N197*Prislapp!$N$3</f>
        <v>35472</v>
      </c>
      <c r="Q197" s="41">
        <f>C197*Prislapp!$C$5+D197*Prislapp!$D$5+E197*Prislapp!$E$5+F197*Prislapp!$F$5+G197*Prislapp!$G$5+H197*Prislapp!$H$5+I197*Prislapp!$I$5+J197*Prislapp!$J$5+K197*Prislapp!$K$5+L197*Prislapp!$L$5+M197*Prislapp!$M$5+N197*Prislapp!$N$5</f>
        <v>22200</v>
      </c>
      <c r="R197" s="9">
        <f>VLOOKUP(A197,'Ansvar kurs'!$A$3:$B$219,2,FALSE)</f>
        <v>1650</v>
      </c>
      <c r="S197" s="185"/>
      <c r="T197" s="185"/>
    </row>
    <row r="198" spans="1:20" x14ac:dyDescent="0.25">
      <c r="A198" s="32" t="s">
        <v>622</v>
      </c>
      <c r="B198" s="32" t="s">
        <v>649</v>
      </c>
      <c r="D198" s="32">
        <v>1</v>
      </c>
      <c r="O198" s="41">
        <f>C198*Prislapp!$C$2+D198*Prislapp!$D$2+E198*Prislapp!$E$2+F198*Prislapp!$F$2+G198*Prislapp!$G$2+H198*Prislapp!$H$2+I198*Prislapp!$I$2+J198*Prislapp!$J$2+K198*Prislapp!$K$2+L198*Prislapp!$L$2+M198*Prislapp!$M$2+N198*Prislapp!$N$2</f>
        <v>19097</v>
      </c>
      <c r="P198" s="41">
        <f>C198*Prislapp!$C$3+D198*Prislapp!$D$3+E198*Prislapp!$E$3+F198*Prislapp!$F$3+G198*Prislapp!$G$3+H198*Prislapp!$H$3+I198*Prislapp!$I$3+J198*Prislapp!$J$3+K198*Prislapp!$K$3+M198*Prislapp!$M$3+N198*Prislapp!$N$3</f>
        <v>16075</v>
      </c>
      <c r="Q198" s="41">
        <f>C198*Prislapp!$C$5+D198*Prislapp!$D$5+E198*Prislapp!$E$5+F198*Prislapp!$F$5+G198*Prislapp!$G$5+H198*Prislapp!$H$5+I198*Prislapp!$I$5+J198*Prislapp!$J$5+K198*Prislapp!$K$5+L198*Prislapp!$L$5+M198*Prislapp!$M$5+N198*Prislapp!$N$5</f>
        <v>5900</v>
      </c>
      <c r="R198" s="9">
        <f>VLOOKUP(A198,'Ansvar kurs'!$A$3:$B$219,2,FALSE)</f>
        <v>1620</v>
      </c>
      <c r="S198" s="185"/>
      <c r="T198" s="185"/>
    </row>
    <row r="199" spans="1:20" x14ac:dyDescent="0.25">
      <c r="A199" s="238" t="s">
        <v>379</v>
      </c>
      <c r="B199" s="32" t="s">
        <v>393</v>
      </c>
      <c r="D199" s="32">
        <v>1</v>
      </c>
      <c r="O199" s="41">
        <f>C199*Prislapp!$C$2+D199*Prislapp!$D$2+E199*Prislapp!$E$2+F199*Prislapp!$F$2+G199*Prislapp!$G$2+H199*Prislapp!$H$2+I199*Prislapp!$I$2+J199*Prislapp!$J$2+K199*Prislapp!$K$2+L199*Prislapp!$L$2+M199*Prislapp!$M$2+N199*Prislapp!$N$2</f>
        <v>19097</v>
      </c>
      <c r="P199" s="41">
        <f>C199*Prislapp!$C$3+D199*Prislapp!$D$3+E199*Prislapp!$E$3+F199*Prislapp!$F$3+G199*Prislapp!$G$3+H199*Prislapp!$H$3+I199*Prislapp!$I$3+J199*Prislapp!$J$3+K199*Prislapp!$K$3+M199*Prislapp!$M$3+N199*Prislapp!$N$3</f>
        <v>16075</v>
      </c>
      <c r="Q199" s="41">
        <f>C199*Prislapp!$C$5+D199*Prislapp!$D$5+E199*Prislapp!$E$5+F199*Prislapp!$F$5+G199*Prislapp!$G$5+H199*Prislapp!$H$5+I199*Prislapp!$I$5+J199*Prislapp!$J$5+K199*Prislapp!$K$5+L199*Prislapp!$L$5+M199*Prislapp!$M$5+N199*Prislapp!$N$5</f>
        <v>5900</v>
      </c>
      <c r="R199" s="9">
        <f>VLOOKUP(A199,'Ansvar kurs'!$A$3:$B$219,2,FALSE)</f>
        <v>1620</v>
      </c>
    </row>
    <row r="200" spans="1:20" x14ac:dyDescent="0.25">
      <c r="A200" s="238" t="s">
        <v>749</v>
      </c>
      <c r="B200" s="32" t="s">
        <v>758</v>
      </c>
      <c r="D200" s="32">
        <v>1</v>
      </c>
      <c r="O200" s="41">
        <f>C200*Prislapp!$C$2+D200*Prislapp!$D$2+E200*Prislapp!$E$2+F200*Prislapp!$F$2+G200*Prislapp!$G$2+H200*Prislapp!$H$2+I200*Prislapp!$I$2+J200*Prislapp!$J$2+K200*Prislapp!$K$2+L200*Prislapp!$L$2+M200*Prislapp!$M$2+N200*Prislapp!$N$2</f>
        <v>19097</v>
      </c>
      <c r="P200" s="41">
        <f>C200*Prislapp!$C$3+D200*Prislapp!$D$3+E200*Prislapp!$E$3+F200*Prislapp!$F$3+G200*Prislapp!$G$3+H200*Prislapp!$H$3+I200*Prislapp!$I$3+J200*Prislapp!$J$3+K200*Prislapp!$K$3+M200*Prislapp!$M$3+N200*Prislapp!$N$3</f>
        <v>16075</v>
      </c>
      <c r="Q200" s="41">
        <f>C200*Prislapp!$C$5+D200*Prislapp!$D$5+E200*Prislapp!$E$5+F200*Prislapp!$F$5+G200*Prislapp!$G$5+H200*Prislapp!$H$5+I200*Prislapp!$I$5+J200*Prislapp!$J$5+K200*Prislapp!$K$5+L200*Prislapp!$L$5+M200*Prislapp!$M$5+N200*Prislapp!$N$5</f>
        <v>5900</v>
      </c>
      <c r="R200" s="9">
        <f>VLOOKUP(A200,'Ansvar kurs'!$A$3:$B$219,2,FALSE)</f>
        <v>1620</v>
      </c>
    </row>
    <row r="201" spans="1:20" x14ac:dyDescent="0.25">
      <c r="A201" s="239" t="s">
        <v>715</v>
      </c>
      <c r="B201" s="59" t="s">
        <v>727</v>
      </c>
      <c r="D201" s="32">
        <v>1</v>
      </c>
      <c r="O201" s="41">
        <f>C201*Prislapp!$C$2+D201*Prislapp!$D$2+E201*Prislapp!$E$2+F201*Prislapp!$F$2+G201*Prislapp!$G$2+H201*Prislapp!$H$2+I201*Prislapp!$I$2+J201*Prislapp!$J$2+K201*Prislapp!$K$2+L201*Prislapp!$L$2+M201*Prislapp!$M$2+N201*Prislapp!$N$2</f>
        <v>19097</v>
      </c>
      <c r="P201" s="41">
        <f>C201*Prislapp!$C$3+D201*Prislapp!$D$3+E201*Prislapp!$E$3+F201*Prislapp!$F$3+G201*Prislapp!$G$3+H201*Prislapp!$H$3+I201*Prislapp!$I$3+J201*Prislapp!$J$3+K201*Prislapp!$K$3+M201*Prislapp!$M$3+N201*Prislapp!$N$3</f>
        <v>16075</v>
      </c>
      <c r="Q201" s="41">
        <f>C201*Prislapp!$C$5+D201*Prislapp!$D$5+E201*Prislapp!$E$5+F201*Prislapp!$F$5+G201*Prislapp!$G$5+H201*Prislapp!$H$5+I201*Prislapp!$I$5+J201*Prislapp!$J$5+K201*Prislapp!$K$5+L201*Prislapp!$L$5+M201*Prislapp!$M$5+N201*Prislapp!$N$5</f>
        <v>5900</v>
      </c>
      <c r="R201" s="9">
        <f>VLOOKUP(A201,'Ansvar kurs'!$A$3:$B$219,2,FALSE)</f>
        <v>1620</v>
      </c>
    </row>
    <row r="202" spans="1:20" x14ac:dyDescent="0.25">
      <c r="A202" s="239" t="s">
        <v>814</v>
      </c>
      <c r="B202" s="394" t="s">
        <v>821</v>
      </c>
      <c r="D202" s="32">
        <v>1</v>
      </c>
      <c r="O202" s="41">
        <f>C202*Prislapp!$C$2+D202*Prislapp!$D$2+E202*Prislapp!$E$2+F202*Prislapp!$F$2+G202*Prislapp!$G$2+H202*Prislapp!$H$2+I202*Prislapp!$I$2+J202*Prislapp!$J$2+K202*Prislapp!$K$2+L202*Prislapp!$L$2+M202*Prislapp!$M$2+N202*Prislapp!$N$2</f>
        <v>19097</v>
      </c>
      <c r="P202" s="41">
        <f>C202*Prislapp!$C$3+D202*Prislapp!$D$3+E202*Prislapp!$E$3+F202*Prislapp!$F$3+G202*Prislapp!$G$3+H202*Prislapp!$H$3+I202*Prislapp!$I$3+J202*Prislapp!$J$3+K202*Prislapp!$K$3+M202*Prislapp!$M$3+N202*Prislapp!$N$3</f>
        <v>16075</v>
      </c>
      <c r="Q202" s="41">
        <f>C202*Prislapp!$C$5+D202*Prislapp!$D$5+E202*Prislapp!$E$5+F202*Prislapp!$F$5+G202*Prislapp!$G$5+H202*Prislapp!$H$5+I202*Prislapp!$I$5+J202*Prislapp!$J$5+K202*Prislapp!$K$5+L202*Prislapp!$L$5+M202*Prislapp!$M$5+N202*Prislapp!$N$5</f>
        <v>5900</v>
      </c>
      <c r="R202" s="9">
        <f>VLOOKUP(A202,'Ansvar kurs'!$A$3:$B$219,2,FALSE)</f>
        <v>1620</v>
      </c>
      <c r="S202" s="56"/>
    </row>
    <row r="203" spans="1:20" x14ac:dyDescent="0.25">
      <c r="A203" s="239" t="s">
        <v>815</v>
      </c>
      <c r="B203" s="394" t="s">
        <v>822</v>
      </c>
      <c r="D203" s="32">
        <v>1</v>
      </c>
      <c r="O203" s="41">
        <f>C203*Prislapp!$C$2+D203*Prislapp!$D$2+E203*Prislapp!$E$2+F203*Prislapp!$F$2+G203*Prislapp!$G$2+H203*Prislapp!$H$2+I203*Prislapp!$I$2+J203*Prislapp!$J$2+K203*Prislapp!$K$2+L203*Prislapp!$L$2+M203*Prislapp!$M$2+N203*Prislapp!$N$2</f>
        <v>19097</v>
      </c>
      <c r="P203" s="41">
        <f>C203*Prislapp!$C$3+D203*Prislapp!$D$3+E203*Prislapp!$E$3+F203*Prislapp!$F$3+G203*Prislapp!$G$3+H203*Prislapp!$H$3+I203*Prislapp!$I$3+J203*Prislapp!$J$3+K203*Prislapp!$K$3+M203*Prislapp!$M$3+N203*Prislapp!$N$3</f>
        <v>16075</v>
      </c>
      <c r="Q203" s="41">
        <f>C203*Prislapp!$C$5+D203*Prislapp!$D$5+E203*Prislapp!$E$5+F203*Prislapp!$F$5+G203*Prislapp!$G$5+H203*Prislapp!$H$5+I203*Prislapp!$I$5+J203*Prislapp!$J$5+K203*Prislapp!$K$5+L203*Prislapp!$L$5+M203*Prislapp!$M$5+N203*Prislapp!$N$5</f>
        <v>5900</v>
      </c>
      <c r="R203" s="9">
        <f>VLOOKUP(A203,'Ansvar kurs'!$A$3:$B$219,2,FALSE)</f>
        <v>1620</v>
      </c>
      <c r="S203" s="56"/>
    </row>
    <row r="204" spans="1:20" x14ac:dyDescent="0.25">
      <c r="A204" s="239" t="s">
        <v>916</v>
      </c>
      <c r="B204" s="32" t="s">
        <v>919</v>
      </c>
      <c r="D204" s="32">
        <v>1</v>
      </c>
      <c r="O204" s="41">
        <f>C204*Prislapp!$C$2+D204*Prislapp!$D$2+E204*Prislapp!$E$2+F204*Prislapp!$F$2+G204*Prislapp!$G$2+H204*Prislapp!$H$2+I204*Prislapp!$I$2+J204*Prislapp!$J$2+K204*Prislapp!$K$2+L204*Prislapp!$L$2+M204*Prislapp!$M$2+N204*Prislapp!$N$2</f>
        <v>19097</v>
      </c>
      <c r="P204" s="41">
        <f>C204*Prislapp!$C$3+D204*Prislapp!$D$3+E204*Prislapp!$E$3+F204*Prislapp!$F$3+G204*Prislapp!$G$3+H204*Prislapp!$H$3+I204*Prislapp!$I$3+J204*Prislapp!$J$3+K204*Prislapp!$K$3+M204*Prislapp!$M$3+N204*Prislapp!$N$3</f>
        <v>16075</v>
      </c>
      <c r="Q204" s="41">
        <f>C204*Prislapp!$C$5+D204*Prislapp!$D$5+E204*Prislapp!$E$5+F204*Prislapp!$F$5+G204*Prislapp!$G$5+H204*Prislapp!$H$5+I204*Prislapp!$I$5+J204*Prislapp!$J$5+K204*Prislapp!$K$5+L204*Prislapp!$L$5+M204*Prislapp!$M$5+N204*Prislapp!$N$5</f>
        <v>5900</v>
      </c>
      <c r="R204" s="9">
        <f>VLOOKUP(A204,'Ansvar kurs'!$A$3:$B$219,2,FALSE)</f>
        <v>1620</v>
      </c>
      <c r="S204" s="56"/>
    </row>
    <row r="205" spans="1:20" x14ac:dyDescent="0.25">
      <c r="A205" s="32" t="s">
        <v>77</v>
      </c>
      <c r="B205" s="32" t="s">
        <v>428</v>
      </c>
      <c r="J205" s="32">
        <v>1</v>
      </c>
      <c r="O205" s="41">
        <f>C205*Prislapp!$C$2+D205*Prislapp!$D$2+E205*Prislapp!$E$2+F205*Prislapp!$F$2+G205*Prislapp!$G$2+H205*Prislapp!$H$2+I205*Prislapp!$I$2+J205*Prislapp!$J$2+K205*Prislapp!$K$2+L205*Prislapp!$L$2+M205*Prislapp!$M$2+N205*Prislapp!$N$2</f>
        <v>19863</v>
      </c>
      <c r="P205" s="41">
        <f>C205*Prislapp!$C$3+D205*Prislapp!$D$3+E205*Prislapp!$E$3+F205*Prislapp!$F$3+G205*Prislapp!$G$3+H205*Prislapp!$H$3+I205*Prislapp!$I$3+J205*Prislapp!$J$3+K205*Prislapp!$K$3+M205*Prislapp!$M$3+N205*Prislapp!$N$3</f>
        <v>35472</v>
      </c>
      <c r="Q205" s="41">
        <f>C205*Prislapp!$C$5+D205*Prislapp!$D$5+E205*Prislapp!$E$5+F205*Prislapp!$F$5+G205*Prislapp!$G$5+H205*Prislapp!$H$5+I205*Prislapp!$I$5+J205*Prislapp!$J$5+K205*Prislapp!$K$5+L205*Prislapp!$L$5+M205*Prislapp!$M$5+N205*Prislapp!$N$5</f>
        <v>22200</v>
      </c>
      <c r="R205" s="9">
        <f>VLOOKUP(A205,'Ansvar kurs'!$A$3:$B$219,2,FALSE)</f>
        <v>1650</v>
      </c>
      <c r="S205" s="185"/>
      <c r="T205" s="185"/>
    </row>
    <row r="206" spans="1:20" x14ac:dyDescent="0.25">
      <c r="A206" s="32" t="s">
        <v>76</v>
      </c>
      <c r="B206" s="32" t="s">
        <v>429</v>
      </c>
      <c r="J206" s="32">
        <v>1</v>
      </c>
      <c r="O206" s="41">
        <f>C206*Prislapp!$C$2+D206*Prislapp!$D$2+E206*Prislapp!$E$2+F206*Prislapp!$F$2+G206*Prislapp!$G$2+H206*Prislapp!$H$2+I206*Prislapp!$I$2+J206*Prislapp!$J$2+K206*Prislapp!$K$2+L206*Prislapp!$L$2+M206*Prislapp!$M$2+N206*Prislapp!$N$2</f>
        <v>19863</v>
      </c>
      <c r="P206" s="41">
        <f>C206*Prislapp!$C$3+D206*Prislapp!$D$3+E206*Prislapp!$E$3+F206*Prislapp!$F$3+G206*Prislapp!$G$3+H206*Prislapp!$H$3+I206*Prislapp!$I$3+J206*Prislapp!$J$3+K206*Prislapp!$K$3+M206*Prislapp!$M$3+N206*Prislapp!$N$3</f>
        <v>35472</v>
      </c>
      <c r="Q206" s="41">
        <f>C206*Prislapp!$C$5+D206*Prislapp!$D$5+E206*Prislapp!$E$5+F206*Prislapp!$F$5+G206*Prislapp!$G$5+H206*Prislapp!$H$5+I206*Prislapp!$I$5+J206*Prislapp!$J$5+K206*Prislapp!$K$5+L206*Prislapp!$L$5+M206*Prislapp!$M$5+N206*Prislapp!$N$5</f>
        <v>22200</v>
      </c>
      <c r="R206" s="9">
        <f>VLOOKUP(A206,'Ansvar kurs'!$A$3:$B$219,2,FALSE)</f>
        <v>1650</v>
      </c>
      <c r="S206" s="185"/>
    </row>
    <row r="207" spans="1:20" x14ac:dyDescent="0.25">
      <c r="A207" s="32" t="s">
        <v>72</v>
      </c>
      <c r="B207" s="32" t="s">
        <v>430</v>
      </c>
      <c r="J207" s="32">
        <v>1</v>
      </c>
      <c r="O207" s="41">
        <f>C207*Prislapp!$C$2+D207*Prislapp!$D$2+E207*Prislapp!$E$2+F207*Prislapp!$F$2+G207*Prislapp!$G$2+H207*Prislapp!$H$2+I207*Prislapp!$I$2+J207*Prislapp!$J$2+K207*Prislapp!$K$2+L207*Prislapp!$L$2+M207*Prislapp!$M$2+N207*Prislapp!$N$2</f>
        <v>19863</v>
      </c>
      <c r="P207" s="41">
        <f>C207*Prislapp!$C$3+D207*Prislapp!$D$3+E207*Prislapp!$E$3+F207*Prislapp!$F$3+G207*Prislapp!$G$3+H207*Prislapp!$H$3+I207*Prislapp!$I$3+J207*Prislapp!$J$3+K207*Prislapp!$K$3+M207*Prislapp!$M$3+N207*Prislapp!$N$3</f>
        <v>35472</v>
      </c>
      <c r="Q207" s="41">
        <f>C207*Prislapp!$C$5+D207*Prislapp!$D$5+E207*Prislapp!$E$5+F207*Prislapp!$F$5+G207*Prislapp!$G$5+H207*Prislapp!$H$5+I207*Prislapp!$I$5+J207*Prislapp!$J$5+K207*Prislapp!$K$5+L207*Prislapp!$L$5+M207*Prislapp!$M$5+N207*Prislapp!$N$5</f>
        <v>22200</v>
      </c>
      <c r="R207" s="9">
        <f>VLOOKUP(A207,'Ansvar kurs'!$A$3:$B$219,2,FALSE)</f>
        <v>1650</v>
      </c>
      <c r="S207" s="185"/>
      <c r="T207" s="185"/>
    </row>
    <row r="208" spans="1:20" x14ac:dyDescent="0.25">
      <c r="A208" s="59" t="s">
        <v>593</v>
      </c>
      <c r="B208" s="32" t="s">
        <v>596</v>
      </c>
      <c r="J208" s="32">
        <v>1</v>
      </c>
      <c r="O208" s="41">
        <f>C208*Prislapp!$C$2+D208*Prislapp!$D$2+E208*Prislapp!$E$2+F208*Prislapp!$F$2+G208*Prislapp!$G$2+H208*Prislapp!$H$2+I208*Prislapp!$I$2+J208*Prislapp!$J$2+K208*Prislapp!$K$2+L208*Prislapp!$L$2+M208*Prislapp!$M$2+N208*Prislapp!$N$2</f>
        <v>19863</v>
      </c>
      <c r="P208" s="41">
        <f>C208*Prislapp!$C$3+D208*Prislapp!$D$3+E208*Prislapp!$E$3+F208*Prislapp!$F$3+G208*Prislapp!$G$3+H208*Prislapp!$H$3+I208*Prislapp!$I$3+J208*Prislapp!$J$3+K208*Prislapp!$K$3+M208*Prislapp!$M$3+N208*Prislapp!$N$3</f>
        <v>35472</v>
      </c>
      <c r="Q208" s="41">
        <f>C208*Prislapp!$C$5+D208*Prislapp!$D$5+E208*Prislapp!$E$5+F208*Prislapp!$F$5+G208*Prislapp!$G$5+H208*Prislapp!$H$5+I208*Prislapp!$I$5+J208*Prislapp!$J$5+K208*Prislapp!$K$5+L208*Prislapp!$L$5+M208*Prislapp!$M$5+N208*Prislapp!$N$5</f>
        <v>22200</v>
      </c>
      <c r="R208" s="9">
        <f>VLOOKUP(A208,'Ansvar kurs'!$A$3:$B$219,2,FALSE)</f>
        <v>1650</v>
      </c>
      <c r="S208" s="185"/>
      <c r="T208" s="185"/>
    </row>
    <row r="209" spans="1:20" x14ac:dyDescent="0.25">
      <c r="A209" s="32" t="s">
        <v>383</v>
      </c>
      <c r="B209" s="32" t="s">
        <v>389</v>
      </c>
      <c r="C209" s="37"/>
      <c r="D209" s="37"/>
      <c r="E209" s="37"/>
      <c r="F209" s="37"/>
      <c r="G209" s="37"/>
      <c r="H209" s="37"/>
      <c r="I209" s="37"/>
      <c r="J209" s="32">
        <v>1</v>
      </c>
      <c r="K209" s="37"/>
      <c r="L209" s="37"/>
      <c r="M209" s="37"/>
      <c r="N209" s="37"/>
      <c r="O209" s="41">
        <f>C209*Prislapp!$C$2+D209*Prislapp!$D$2+E209*Prislapp!$E$2+F209*Prislapp!$F$2+G209*Prislapp!$G$2+H209*Prislapp!$H$2+I209*Prislapp!$I$2+J209*Prislapp!$J$2+K209*Prislapp!$K$2+L209*Prislapp!$L$2+M209*Prislapp!$M$2+N209*Prislapp!$N$2</f>
        <v>19863</v>
      </c>
      <c r="P209" s="41">
        <f>C209*Prislapp!$C$3+D209*Prislapp!$D$3+E209*Prislapp!$E$3+F209*Prislapp!$F$3+G209*Prislapp!$G$3+H209*Prislapp!$H$3+I209*Prislapp!$I$3+J209*Prislapp!$J$3+K209*Prislapp!$K$3+M209*Prislapp!$M$3+N209*Prislapp!$N$3</f>
        <v>35472</v>
      </c>
      <c r="Q209" s="41">
        <f>C209*Prislapp!$C$5+D209*Prislapp!$D$5+E209*Prislapp!$E$5+F209*Prislapp!$F$5+G209*Prislapp!$G$5+H209*Prislapp!$H$5+I209*Prislapp!$I$5+J209*Prislapp!$J$5+K209*Prislapp!$K$5+L209*Prislapp!$L$5+M209*Prislapp!$M$5+N209*Prislapp!$N$5</f>
        <v>22200</v>
      </c>
      <c r="R209" s="9">
        <f>VLOOKUP(A209,'Ansvar kurs'!$A$3:$B$219,2,FALSE)</f>
        <v>1650</v>
      </c>
    </row>
    <row r="210" spans="1:20" x14ac:dyDescent="0.25">
      <c r="A210" s="32" t="s">
        <v>397</v>
      </c>
      <c r="B210" s="32" t="s">
        <v>431</v>
      </c>
      <c r="C210" s="37"/>
      <c r="D210" s="37"/>
      <c r="E210" s="37"/>
      <c r="F210" s="37"/>
      <c r="G210" s="37"/>
      <c r="H210" s="37"/>
      <c r="I210" s="37"/>
      <c r="J210" s="32">
        <v>1</v>
      </c>
      <c r="N210" s="37"/>
      <c r="O210" s="41">
        <f>C210*Prislapp!$C$2+D210*Prislapp!$D$2+E210*Prislapp!$E$2+F210*Prislapp!$F$2+G210*Prislapp!$G$2+H210*Prislapp!$H$2+I210*Prislapp!$I$2+J210*Prislapp!$J$2+K210*Prislapp!$K$2+L210*Prislapp!$L$2+M210*Prislapp!$M$2+N210*Prislapp!$N$2</f>
        <v>19863</v>
      </c>
      <c r="P210" s="41">
        <f>C210*Prislapp!$C$3+D210*Prislapp!$D$3+E210*Prislapp!$E$3+F210*Prislapp!$F$3+G210*Prislapp!$G$3+H210*Prislapp!$H$3+I210*Prislapp!$I$3+J210*Prislapp!$J$3+K210*Prislapp!$K$3+M210*Prislapp!$M$3+N210*Prislapp!$N$3</f>
        <v>35472</v>
      </c>
      <c r="Q210" s="41">
        <f>C210*Prislapp!$C$5+D210*Prislapp!$D$5+E210*Prislapp!$E$5+F210*Prislapp!$F$5+G210*Prislapp!$G$5+H210*Prislapp!$H$5+I210*Prislapp!$I$5+J210*Prislapp!$J$5+K210*Prislapp!$K$5+L210*Prislapp!$L$5+M210*Prislapp!$M$5+N210*Prislapp!$N$5</f>
        <v>22200</v>
      </c>
      <c r="R210" s="9">
        <f>VLOOKUP(A210,'Ansvar kurs'!$A$3:$B$219,2,FALSE)</f>
        <v>1650</v>
      </c>
      <c r="S210" s="185"/>
      <c r="T210" s="185"/>
    </row>
    <row r="211" spans="1:20" x14ac:dyDescent="0.25">
      <c r="A211" s="32" t="s">
        <v>412</v>
      </c>
      <c r="B211" s="32" t="s">
        <v>505</v>
      </c>
      <c r="J211" s="32">
        <v>1</v>
      </c>
      <c r="O211" s="41">
        <f>C211*Prislapp!$C$2+D211*Prislapp!$D$2+E211*Prislapp!$E$2+F211*Prislapp!$F$2+G211*Prislapp!$G$2+H211*Prislapp!$H$2+I211*Prislapp!$I$2+J211*Prislapp!$J$2+K211*Prislapp!$K$2+L211*Prislapp!$L$2+M211*Prislapp!$M$2+N211*Prislapp!$N$2</f>
        <v>19863</v>
      </c>
      <c r="P211" s="41">
        <f>C211*Prislapp!$C$3+D211*Prislapp!$D$3+E211*Prislapp!$E$3+F211*Prislapp!$F$3+G211*Prislapp!$G$3+H211*Prislapp!$H$3+I211*Prislapp!$I$3+J211*Prislapp!$J$3+K211*Prislapp!$K$3+M211*Prislapp!$M$3+N211*Prislapp!$N$3</f>
        <v>35472</v>
      </c>
      <c r="Q211" s="41">
        <f>C211*Prislapp!$C$5+D211*Prislapp!$D$5+E211*Prislapp!$E$5+F211*Prislapp!$F$5+G211*Prislapp!$G$5+H211*Prislapp!$H$5+I211*Prislapp!$I$5+J211*Prislapp!$J$5+K211*Prislapp!$K$5+L211*Prislapp!$L$5+M211*Prislapp!$M$5+N211*Prislapp!$N$5</f>
        <v>22200</v>
      </c>
      <c r="R211" s="9">
        <f>VLOOKUP(A211,'Ansvar kurs'!$A$3:$B$219,2,FALSE)</f>
        <v>1650</v>
      </c>
      <c r="S211" s="185"/>
      <c r="T211" s="185"/>
    </row>
    <row r="212" spans="1:20" x14ac:dyDescent="0.25">
      <c r="A212" s="59" t="s">
        <v>473</v>
      </c>
      <c r="B212" s="32" t="s">
        <v>474</v>
      </c>
      <c r="J212" s="32">
        <v>1</v>
      </c>
      <c r="O212" s="41">
        <f>C212*Prislapp!$C$2+D212*Prislapp!$D$2+E212*Prislapp!$E$2+F212*Prislapp!$F$2+G212*Prislapp!$G$2+H212*Prislapp!$H$2+I212*Prislapp!$I$2+J212*Prislapp!$J$2+K212*Prislapp!$K$2+L212*Prislapp!$L$2+M212*Prislapp!$M$2+N212*Prislapp!$N$2</f>
        <v>19863</v>
      </c>
      <c r="P212" s="41">
        <f>C212*Prislapp!$C$3+D212*Prislapp!$D$3+E212*Prislapp!$E$3+F212*Prislapp!$F$3+G212*Prislapp!$G$3+H212*Prislapp!$H$3+I212*Prislapp!$I$3+J212*Prislapp!$J$3+K212*Prislapp!$K$3+M212*Prislapp!$M$3+N212*Prislapp!$N$3</f>
        <v>35472</v>
      </c>
      <c r="Q212" s="41">
        <f>C212*Prislapp!$C$5+D212*Prislapp!$D$5+E212*Prislapp!$E$5+F212*Prislapp!$F$5+G212*Prislapp!$G$5+H212*Prislapp!$H$5+I212*Prislapp!$I$5+J212*Prislapp!$J$5+K212*Prislapp!$K$5+L212*Prislapp!$L$5+M212*Prislapp!$M$5+N212*Prislapp!$N$5</f>
        <v>22200</v>
      </c>
      <c r="R212" s="9">
        <f>VLOOKUP(A212,'Ansvar kurs'!$A$3:$B$219,2,FALSE)</f>
        <v>1650</v>
      </c>
      <c r="S212" s="185"/>
      <c r="T212" s="185"/>
    </row>
    <row r="213" spans="1:20" x14ac:dyDescent="0.25">
      <c r="A213" s="59" t="s">
        <v>716</v>
      </c>
      <c r="B213" s="32" t="s">
        <v>738</v>
      </c>
      <c r="J213" s="32">
        <v>1</v>
      </c>
      <c r="O213" s="41">
        <f>C213*Prislapp!$C$2+D213*Prislapp!$D$2+E213*Prislapp!$E$2+F213*Prislapp!$F$2+G213*Prislapp!$G$2+H213*Prislapp!$H$2+I213*Prislapp!$I$2+J213*Prislapp!$J$2+K213*Prislapp!$K$2+L213*Prislapp!$L$2+M213*Prislapp!$M$2+N213*Prislapp!$N$2</f>
        <v>19863</v>
      </c>
      <c r="P213" s="41">
        <f>C213*Prislapp!$C$3+D213*Prislapp!$D$3+E213*Prislapp!$E$3+F213*Prislapp!$F$3+G213*Prislapp!$G$3+H213*Prislapp!$H$3+I213*Prislapp!$I$3+J213*Prislapp!$J$3+K213*Prislapp!$K$3+M213*Prislapp!$M$3+N213*Prislapp!$N$3</f>
        <v>35472</v>
      </c>
      <c r="Q213" s="41">
        <f>C213*Prislapp!$C$5+D213*Prislapp!$D$5+E213*Prislapp!$E$5+F213*Prislapp!$F$5+G213*Prislapp!$G$5+H213*Prislapp!$H$5+I213*Prislapp!$I$5+J213*Prislapp!$J$5+K213*Prislapp!$K$5+L213*Prislapp!$L$5+M213*Prislapp!$M$5+N213*Prislapp!$N$5</f>
        <v>22200</v>
      </c>
      <c r="R213" s="9">
        <f>VLOOKUP(A213,'Ansvar kurs'!$A$3:$B$219,2,FALSE)</f>
        <v>1650</v>
      </c>
      <c r="S213" s="185"/>
      <c r="T213" s="185"/>
    </row>
    <row r="214" spans="1:20" x14ac:dyDescent="0.25">
      <c r="A214" s="59" t="s">
        <v>683</v>
      </c>
      <c r="B214" s="32" t="s">
        <v>693</v>
      </c>
      <c r="J214" s="32">
        <v>1</v>
      </c>
      <c r="O214" s="41">
        <f>C214*Prislapp!$C$2+D214*Prislapp!$D$2+E214*Prislapp!$E$2+F214*Prislapp!$F$2+G214*Prislapp!$G$2+H214*Prislapp!$H$2+I214*Prislapp!$I$2+J214*Prislapp!$J$2+K214*Prislapp!$K$2+L214*Prislapp!$L$2+M214*Prislapp!$M$2+N214*Prislapp!$N$2</f>
        <v>19863</v>
      </c>
      <c r="P214" s="41">
        <f>C214*Prislapp!$C$3+D214*Prislapp!$D$3+E214*Prislapp!$E$3+F214*Prislapp!$F$3+G214*Prislapp!$G$3+H214*Prislapp!$H$3+I214*Prislapp!$I$3+J214*Prislapp!$J$3+K214*Prislapp!$K$3+M214*Prislapp!$M$3+N214*Prislapp!$N$3</f>
        <v>35472</v>
      </c>
      <c r="Q214" s="41">
        <f>C214*Prislapp!$C$5+D214*Prislapp!$D$5+E214*Prislapp!$E$5+F214*Prislapp!$F$5+G214*Prislapp!$G$5+H214*Prislapp!$H$5+I214*Prislapp!$I$5+J214*Prislapp!$J$5+K214*Prislapp!$K$5+L214*Prislapp!$L$5+M214*Prislapp!$M$5+N214*Prislapp!$N$5</f>
        <v>22200</v>
      </c>
      <c r="R214" s="9">
        <f>VLOOKUP(A214,'Ansvar kurs'!$A$3:$B$219,2,FALSE)</f>
        <v>1650</v>
      </c>
      <c r="S214" s="185"/>
      <c r="T214" s="185"/>
    </row>
    <row r="215" spans="1:20" x14ac:dyDescent="0.25">
      <c r="A215" s="59" t="s">
        <v>668</v>
      </c>
      <c r="B215" s="59" t="s">
        <v>430</v>
      </c>
      <c r="J215" s="32">
        <v>1</v>
      </c>
      <c r="O215" s="41">
        <f>C215*Prislapp!$C$2+D215*Prislapp!$D$2+E215*Prislapp!$E$2+F215*Prislapp!$F$2+G215*Prislapp!$G$2+H215*Prislapp!$H$2+I215*Prislapp!$I$2+J215*Prislapp!$J$2+K215*Prislapp!$K$2+L215*Prislapp!$L$2+M215*Prislapp!$M$2+N215*Prislapp!$N$2</f>
        <v>19863</v>
      </c>
      <c r="P215" s="41">
        <f>C215*Prislapp!$C$3+D215*Prislapp!$D$3+E215*Prislapp!$E$3+F215*Prislapp!$F$3+G215*Prislapp!$G$3+H215*Prislapp!$H$3+I215*Prislapp!$I$3+J215*Prislapp!$J$3+K215*Prislapp!$K$3+M215*Prislapp!$M$3+N215*Prislapp!$N$3</f>
        <v>35472</v>
      </c>
      <c r="Q215" s="41">
        <f>C215*Prislapp!$C$5+D215*Prislapp!$D$5+E215*Prislapp!$E$5+F215*Prislapp!$F$5+G215*Prislapp!$G$5+H215*Prislapp!$H$5+I215*Prislapp!$I$5+J215*Prislapp!$J$5+K215*Prislapp!$K$5+L215*Prislapp!$L$5+M215*Prislapp!$M$5+N215*Prislapp!$N$5</f>
        <v>22200</v>
      </c>
      <c r="R215" s="9">
        <f>VLOOKUP(A215,'Ansvar kurs'!$A$3:$B$219,2,FALSE)</f>
        <v>1650</v>
      </c>
      <c r="S215" s="185"/>
      <c r="T215" s="185"/>
    </row>
    <row r="216" spans="1:20" x14ac:dyDescent="0.25">
      <c r="A216" s="56" t="s">
        <v>669</v>
      </c>
      <c r="B216" s="59" t="s">
        <v>673</v>
      </c>
      <c r="J216" s="32">
        <v>1</v>
      </c>
      <c r="O216" s="41">
        <f>C216*Prislapp!$C$2+D216*Prislapp!$D$2+E216*Prislapp!$E$2+F216*Prislapp!$F$2+G216*Prislapp!$G$2+H216*Prislapp!$H$2+I216*Prislapp!$I$2+J216*Prislapp!$J$2+K216*Prislapp!$K$2+L216*Prislapp!$L$2+M216*Prislapp!$M$2+N216*Prislapp!$N$2</f>
        <v>19863</v>
      </c>
      <c r="P216" s="41">
        <f>C216*Prislapp!$C$3+D216*Prislapp!$D$3+E216*Prislapp!$E$3+F216*Prislapp!$F$3+G216*Prislapp!$G$3+H216*Prislapp!$H$3+I216*Prislapp!$I$3+J216*Prislapp!$J$3+K216*Prislapp!$K$3+M216*Prislapp!$M$3+N216*Prislapp!$N$3</f>
        <v>35472</v>
      </c>
      <c r="Q216" s="41">
        <f>C216*Prislapp!$C$5+D216*Prislapp!$D$5+E216*Prislapp!$E$5+F216*Prislapp!$F$5+G216*Prislapp!$G$5+H216*Prislapp!$H$5+I216*Prislapp!$I$5+J216*Prislapp!$J$5+K216*Prislapp!$K$5+L216*Prislapp!$L$5+M216*Prislapp!$M$5+N216*Prislapp!$N$5</f>
        <v>22200</v>
      </c>
      <c r="R216" s="9">
        <f>VLOOKUP(A216,'Ansvar kurs'!$A$3:$B$219,2,FALSE)</f>
        <v>1650</v>
      </c>
      <c r="S216" s="185"/>
      <c r="T216" s="185"/>
    </row>
    <row r="217" spans="1:20" x14ac:dyDescent="0.25">
      <c r="A217" s="56" t="s">
        <v>717</v>
      </c>
      <c r="B217" s="59" t="s">
        <v>739</v>
      </c>
      <c r="D217" s="32">
        <v>1</v>
      </c>
      <c r="O217" s="41">
        <f>C217*Prislapp!$C$2+D217*Prislapp!$D$2+E217*Prislapp!$E$2+F217*Prislapp!$F$2+G217*Prislapp!$G$2+H217*Prislapp!$H$2+I217*Prislapp!$I$2+J217*Prislapp!$J$2+K217*Prislapp!$K$2+L217*Prislapp!$L$2+M217*Prislapp!$M$2+N217*Prislapp!$N$2</f>
        <v>19097</v>
      </c>
      <c r="P217" s="41">
        <f>C217*Prislapp!$C$3+D217*Prislapp!$D$3+E217*Prislapp!$E$3+F217*Prislapp!$F$3+G217*Prislapp!$G$3+H217*Prislapp!$H$3+I217*Prislapp!$I$3+J217*Prislapp!$J$3+K217*Prislapp!$K$3+M217*Prislapp!$M$3+N217*Prislapp!$N$3</f>
        <v>16075</v>
      </c>
      <c r="Q217" s="41">
        <f>C217*Prislapp!$C$5+D217*Prislapp!$D$5+E217*Prislapp!$E$5+F217*Prislapp!$F$5+G217*Prislapp!$G$5+H217*Prislapp!$H$5+I217*Prislapp!$I$5+J217*Prislapp!$J$5+K217*Prislapp!$K$5+L217*Prislapp!$L$5+M217*Prislapp!$M$5+N217*Prislapp!$N$5</f>
        <v>5900</v>
      </c>
      <c r="R217" s="9">
        <f>VLOOKUP(A217,'Ansvar kurs'!$A$3:$B$219,2,FALSE)</f>
        <v>1650</v>
      </c>
      <c r="S217" s="185"/>
      <c r="T217" s="185"/>
    </row>
    <row r="218" spans="1:20" x14ac:dyDescent="0.25">
      <c r="A218" s="56" t="s">
        <v>924</v>
      </c>
      <c r="B218" s="59" t="s">
        <v>430</v>
      </c>
      <c r="J218" s="32">
        <v>1</v>
      </c>
      <c r="O218" s="41">
        <f>C218*Prislapp!$C$2+D218*Prislapp!$D$2+E218*Prislapp!$E$2+F218*Prislapp!$F$2+G218*Prislapp!$G$2+H218*Prislapp!$H$2+I218*Prislapp!$I$2+J218*Prislapp!$J$2+K218*Prislapp!$K$2+L218*Prislapp!$L$2+M218*Prislapp!$M$2+N218*Prislapp!$N$2</f>
        <v>19863</v>
      </c>
      <c r="P218" s="41">
        <f>C218*Prislapp!$C$3+D218*Prislapp!$D$3+E218*Prislapp!$E$3+F218*Prislapp!$F$3+G218*Prislapp!$G$3+H218*Prislapp!$H$3+I218*Prislapp!$I$3+J218*Prislapp!$J$3+K218*Prislapp!$K$3+M218*Prislapp!$M$3+N218*Prislapp!$N$3</f>
        <v>35472</v>
      </c>
      <c r="Q218" s="41">
        <f>C218*Prislapp!$C$5+D218*Prislapp!$D$5+E218*Prislapp!$E$5+F218*Prislapp!$F$5+G218*Prislapp!$G$5+H218*Prislapp!$H$5+I218*Prislapp!$I$5+J218*Prislapp!$J$5+K218*Prislapp!$K$5+L218*Prislapp!$L$5+M218*Prislapp!$M$5+N218*Prislapp!$N$5</f>
        <v>22200</v>
      </c>
      <c r="R218" s="9">
        <f>VLOOKUP(A218,'Ansvar kurs'!$A$3:$B$219,2,FALSE)</f>
        <v>1650</v>
      </c>
      <c r="S218" s="185"/>
      <c r="T218" s="185"/>
    </row>
    <row r="219" spans="1:20" x14ac:dyDescent="0.25">
      <c r="A219" s="32" t="s">
        <v>61</v>
      </c>
      <c r="B219" s="32" t="s">
        <v>432</v>
      </c>
      <c r="F219" s="32">
        <v>1</v>
      </c>
      <c r="O219" s="41">
        <f>C219*Prislapp!$C$2+D219*Prislapp!$D$2+E219*Prislapp!$E$2+F219*Prislapp!$F$2+G219*Prislapp!$G$2+H219*Prislapp!$H$2+I219*Prislapp!$I$2+J219*Prislapp!$J$2+K219*Prislapp!$K$2+L219*Prislapp!$L$2+M219*Prislapp!$M$2+N219*Prislapp!$N$2</f>
        <v>24104</v>
      </c>
      <c r="P219" s="41">
        <f>C219*Prislapp!$C$3+D219*Prislapp!$D$3+E219*Prislapp!$E$3+F219*Prislapp!$F$3+G219*Prislapp!$G$3+H219*Prislapp!$H$3+I219*Prislapp!$I$3+J219*Prislapp!$J$3+K219*Prislapp!$K$3+M219*Prislapp!$M$3+N219*Prislapp!$N$3</f>
        <v>31432</v>
      </c>
      <c r="Q219" s="41">
        <f>C219*Prislapp!$C$5+D219*Prislapp!$D$5+E219*Prislapp!$E$5+F219*Prislapp!$F$5+G219*Prislapp!$G$5+H219*Prislapp!$H$5+I219*Prislapp!$I$5+J219*Prislapp!$J$5+K219*Prislapp!$K$5+L219*Prislapp!$L$5+M219*Prislapp!$M$5+N219*Prislapp!$N$5</f>
        <v>5900</v>
      </c>
      <c r="R219" s="9">
        <f>VLOOKUP(A219,'Ansvar kurs'!$A$3:$B$219,2,FALSE)</f>
        <v>2193</v>
      </c>
    </row>
    <row r="220" spans="1:20" x14ac:dyDescent="0.25">
      <c r="O220" s="41"/>
      <c r="P220" s="41"/>
      <c r="Q220" s="41"/>
      <c r="R220" s="41"/>
    </row>
    <row r="221" spans="1:20" x14ac:dyDescent="0.25">
      <c r="O221" s="41"/>
      <c r="P221" s="41"/>
      <c r="Q221" s="41"/>
      <c r="R221" s="41"/>
    </row>
    <row r="222" spans="1:20" x14ac:dyDescent="0.25">
      <c r="O222" s="41"/>
      <c r="P222" s="41"/>
      <c r="Q222" s="41"/>
      <c r="R222" s="41"/>
    </row>
    <row r="223" spans="1:20" x14ac:dyDescent="0.25">
      <c r="O223" s="41"/>
      <c r="P223" s="41"/>
      <c r="Q223" s="41"/>
      <c r="R223" s="41"/>
    </row>
    <row r="224" spans="1:20" x14ac:dyDescent="0.25">
      <c r="O224" s="41"/>
      <c r="P224" s="41"/>
      <c r="Q224" s="41"/>
      <c r="R224" s="41"/>
    </row>
    <row r="225" spans="15:18" x14ac:dyDescent="0.25">
      <c r="O225" s="41"/>
    </row>
    <row r="226" spans="15:18" x14ac:dyDescent="0.25">
      <c r="O226" s="41"/>
    </row>
    <row r="227" spans="15:18" x14ac:dyDescent="0.25">
      <c r="O227" s="41"/>
    </row>
    <row r="228" spans="15:18" x14ac:dyDescent="0.25">
      <c r="O228" s="41"/>
    </row>
    <row r="229" spans="15:18" x14ac:dyDescent="0.25">
      <c r="O229" s="41"/>
    </row>
    <row r="230" spans="15:18" x14ac:dyDescent="0.25">
      <c r="O230" s="41"/>
      <c r="Q230" s="56"/>
      <c r="R230" s="56"/>
    </row>
    <row r="231" spans="15:18" x14ac:dyDescent="0.25">
      <c r="O231" s="41"/>
      <c r="P231" s="41"/>
      <c r="Q231" s="41"/>
      <c r="R231" s="41"/>
    </row>
    <row r="232" spans="15:18" x14ac:dyDescent="0.25">
      <c r="O232" s="41"/>
      <c r="P232" s="41"/>
      <c r="Q232" s="41"/>
      <c r="R232" s="41"/>
    </row>
    <row r="233" spans="15:18" x14ac:dyDescent="0.25">
      <c r="O233" s="41"/>
      <c r="P233" s="41"/>
      <c r="Q233" s="41"/>
      <c r="R233" s="41"/>
    </row>
    <row r="234" spans="15:18" x14ac:dyDescent="0.25">
      <c r="O234" s="41"/>
      <c r="P234" s="41"/>
      <c r="Q234" s="41"/>
      <c r="R234" s="41"/>
    </row>
    <row r="235" spans="15:18" x14ac:dyDescent="0.25">
      <c r="O235" s="41"/>
      <c r="P235" s="41"/>
      <c r="Q235" s="41"/>
      <c r="R235" s="41"/>
    </row>
    <row r="236" spans="15:18" x14ac:dyDescent="0.25">
      <c r="O236" s="41"/>
      <c r="P236" s="41"/>
      <c r="Q236" s="41"/>
      <c r="R236" s="41"/>
    </row>
    <row r="237" spans="15:18" x14ac:dyDescent="0.25">
      <c r="O237" s="41"/>
      <c r="P237" s="41"/>
      <c r="Q237" s="41"/>
      <c r="R237" s="41"/>
    </row>
    <row r="238" spans="15:18" x14ac:dyDescent="0.25">
      <c r="O238" s="41"/>
      <c r="P238" s="41"/>
      <c r="Q238" s="41"/>
      <c r="R238" s="41"/>
    </row>
    <row r="239" spans="15:18" x14ac:dyDescent="0.25">
      <c r="O239" s="41"/>
      <c r="P239" s="41"/>
      <c r="Q239" s="41"/>
      <c r="R239" s="41"/>
    </row>
    <row r="240" spans="15:18" x14ac:dyDescent="0.25">
      <c r="O240" s="41"/>
      <c r="P240" s="41"/>
      <c r="Q240" s="41"/>
      <c r="R240" s="41"/>
    </row>
    <row r="241" spans="15:18" x14ac:dyDescent="0.25">
      <c r="O241" s="41"/>
      <c r="P241" s="41"/>
      <c r="Q241" s="41"/>
      <c r="R241" s="41"/>
    </row>
    <row r="242" spans="15:18" x14ac:dyDescent="0.25">
      <c r="O242" s="41"/>
      <c r="P242" s="41"/>
      <c r="Q242" s="41"/>
      <c r="R242" s="41"/>
    </row>
    <row r="243" spans="15:18" x14ac:dyDescent="0.25">
      <c r="O243" s="41"/>
      <c r="P243" s="41"/>
      <c r="Q243" s="41"/>
      <c r="R243" s="41"/>
    </row>
    <row r="244" spans="15:18" x14ac:dyDescent="0.25">
      <c r="O244" s="41"/>
      <c r="P244" s="41"/>
      <c r="Q244" s="41"/>
      <c r="R244" s="41"/>
    </row>
    <row r="245" spans="15:18" x14ac:dyDescent="0.25">
      <c r="O245" s="41"/>
      <c r="P245" s="41"/>
      <c r="Q245" s="41"/>
      <c r="R245" s="41"/>
    </row>
    <row r="246" spans="15:18" x14ac:dyDescent="0.25">
      <c r="O246" s="41"/>
      <c r="P246" s="41"/>
      <c r="Q246" s="41"/>
      <c r="R246" s="41"/>
    </row>
    <row r="247" spans="15:18" x14ac:dyDescent="0.25">
      <c r="O247" s="41"/>
      <c r="P247" s="41"/>
      <c r="Q247" s="41"/>
      <c r="R247" s="41"/>
    </row>
    <row r="248" spans="15:18" x14ac:dyDescent="0.25">
      <c r="O248" s="41"/>
      <c r="P248" s="41"/>
      <c r="Q248" s="41"/>
      <c r="R248" s="41"/>
    </row>
    <row r="249" spans="15:18" x14ac:dyDescent="0.25">
      <c r="O249" s="41"/>
      <c r="P249" s="41"/>
      <c r="Q249" s="41"/>
      <c r="R249" s="41"/>
    </row>
    <row r="250" spans="15:18" x14ac:dyDescent="0.25">
      <c r="O250" s="41"/>
      <c r="P250" s="41"/>
      <c r="Q250" s="41"/>
      <c r="R250" s="41"/>
    </row>
    <row r="251" spans="15:18" x14ac:dyDescent="0.25">
      <c r="O251" s="41"/>
      <c r="P251" s="41"/>
      <c r="Q251" s="41"/>
      <c r="R251" s="41"/>
    </row>
    <row r="252" spans="15:18" x14ac:dyDescent="0.25">
      <c r="O252" s="41"/>
      <c r="P252" s="41"/>
      <c r="Q252" s="41"/>
      <c r="R252" s="41"/>
    </row>
    <row r="253" spans="15:18" x14ac:dyDescent="0.25">
      <c r="O253" s="41"/>
      <c r="P253" s="41"/>
      <c r="Q253" s="41"/>
      <c r="R253" s="41"/>
    </row>
    <row r="254" spans="15:18" x14ac:dyDescent="0.25">
      <c r="O254" s="41"/>
      <c r="P254" s="41"/>
      <c r="Q254" s="41"/>
      <c r="R254" s="41"/>
    </row>
    <row r="255" spans="15:18" x14ac:dyDescent="0.25">
      <c r="O255" s="41"/>
      <c r="P255" s="41"/>
      <c r="Q255" s="41"/>
      <c r="R255" s="41"/>
    </row>
    <row r="256" spans="15:18" x14ac:dyDescent="0.25">
      <c r="O256" s="41"/>
      <c r="P256" s="41"/>
      <c r="Q256" s="41"/>
      <c r="R256" s="41"/>
    </row>
    <row r="257" spans="15:18" x14ac:dyDescent="0.25">
      <c r="O257" s="41"/>
      <c r="P257" s="41"/>
      <c r="Q257" s="41"/>
      <c r="R257" s="41"/>
    </row>
    <row r="258" spans="15:18" x14ac:dyDescent="0.25">
      <c r="O258" s="41"/>
      <c r="P258" s="41"/>
      <c r="Q258" s="41"/>
      <c r="R258" s="41"/>
    </row>
    <row r="259" spans="15:18" x14ac:dyDescent="0.25">
      <c r="O259" s="41"/>
      <c r="P259" s="41"/>
      <c r="Q259" s="41"/>
      <c r="R259" s="41"/>
    </row>
    <row r="260" spans="15:18" x14ac:dyDescent="0.25">
      <c r="O260" s="41"/>
      <c r="P260" s="41"/>
      <c r="Q260" s="41"/>
      <c r="R260" s="41"/>
    </row>
    <row r="261" spans="15:18" x14ac:dyDescent="0.25">
      <c r="O261" s="41"/>
      <c r="P261" s="41"/>
      <c r="Q261" s="41"/>
      <c r="R261" s="41"/>
    </row>
    <row r="262" spans="15:18" x14ac:dyDescent="0.25">
      <c r="O262" s="41"/>
      <c r="P262" s="41"/>
      <c r="Q262" s="41"/>
      <c r="R262" s="41"/>
    </row>
    <row r="263" spans="15:18" x14ac:dyDescent="0.25">
      <c r="O263" s="41"/>
      <c r="P263" s="41"/>
      <c r="Q263" s="41"/>
      <c r="R263" s="41"/>
    </row>
    <row r="264" spans="15:18" x14ac:dyDescent="0.25">
      <c r="O264" s="41"/>
      <c r="P264" s="41"/>
      <c r="Q264" s="41"/>
      <c r="R264" s="41"/>
    </row>
    <row r="265" spans="15:18" x14ac:dyDescent="0.25">
      <c r="O265" s="41"/>
      <c r="P265" s="41"/>
      <c r="Q265" s="41"/>
      <c r="R265" s="41"/>
    </row>
    <row r="266" spans="15:18" x14ac:dyDescent="0.25">
      <c r="O266" s="41"/>
      <c r="P266" s="41"/>
      <c r="Q266" s="41"/>
      <c r="R266" s="41"/>
    </row>
    <row r="267" spans="15:18" x14ac:dyDescent="0.25">
      <c r="O267" s="41"/>
      <c r="P267" s="41"/>
      <c r="Q267" s="41"/>
      <c r="R267" s="41"/>
    </row>
    <row r="268" spans="15:18" x14ac:dyDescent="0.25">
      <c r="O268" s="41"/>
      <c r="P268" s="41"/>
      <c r="Q268" s="41"/>
      <c r="R268" s="41"/>
    </row>
    <row r="269" spans="15:18" x14ac:dyDescent="0.25">
      <c r="O269" s="41"/>
      <c r="P269" s="41"/>
      <c r="Q269" s="41"/>
      <c r="R269" s="41"/>
    </row>
    <row r="270" spans="15:18" x14ac:dyDescent="0.25">
      <c r="O270" s="41"/>
      <c r="P270" s="41"/>
      <c r="Q270" s="41"/>
      <c r="R270" s="41"/>
    </row>
    <row r="271" spans="15:18" x14ac:dyDescent="0.25">
      <c r="O271" s="41"/>
      <c r="P271" s="41"/>
      <c r="Q271" s="41"/>
      <c r="R271" s="41"/>
    </row>
    <row r="272" spans="15:18" x14ac:dyDescent="0.25">
      <c r="O272" s="41"/>
      <c r="P272" s="41"/>
      <c r="Q272" s="41"/>
      <c r="R272" s="41"/>
    </row>
    <row r="273" spans="15:18" x14ac:dyDescent="0.25">
      <c r="O273" s="41"/>
      <c r="P273" s="41"/>
      <c r="Q273" s="41"/>
      <c r="R273" s="41"/>
    </row>
    <row r="274" spans="15:18" x14ac:dyDescent="0.25">
      <c r="O274" s="41"/>
      <c r="P274" s="41"/>
      <c r="Q274" s="41"/>
      <c r="R274" s="41"/>
    </row>
    <row r="275" spans="15:18" x14ac:dyDescent="0.25">
      <c r="O275" s="41"/>
      <c r="P275" s="41"/>
      <c r="Q275" s="41"/>
      <c r="R275" s="41"/>
    </row>
    <row r="276" spans="15:18" x14ac:dyDescent="0.25">
      <c r="O276" s="41"/>
      <c r="P276" s="41"/>
      <c r="Q276" s="41"/>
      <c r="R276" s="41"/>
    </row>
    <row r="277" spans="15:18" x14ac:dyDescent="0.25">
      <c r="O277" s="41"/>
      <c r="P277" s="41"/>
      <c r="Q277" s="41"/>
      <c r="R277" s="41"/>
    </row>
    <row r="278" spans="15:18" x14ac:dyDescent="0.25">
      <c r="O278" s="41"/>
      <c r="P278" s="41"/>
      <c r="Q278" s="41"/>
      <c r="R278" s="41"/>
    </row>
    <row r="279" spans="15:18" x14ac:dyDescent="0.25">
      <c r="O279" s="41"/>
      <c r="P279" s="41"/>
      <c r="Q279" s="41"/>
      <c r="R279" s="41"/>
    </row>
    <row r="280" spans="15:18" x14ac:dyDescent="0.25">
      <c r="O280" s="41"/>
      <c r="P280" s="41"/>
      <c r="Q280" s="41"/>
      <c r="R280" s="41"/>
    </row>
    <row r="281" spans="15:18" x14ac:dyDescent="0.25">
      <c r="O281" s="41"/>
      <c r="P281" s="41"/>
      <c r="Q281" s="41"/>
      <c r="R281" s="41"/>
    </row>
    <row r="282" spans="15:18" x14ac:dyDescent="0.25">
      <c r="O282" s="41"/>
      <c r="P282" s="41"/>
      <c r="Q282" s="41"/>
      <c r="R282" s="41"/>
    </row>
    <row r="283" spans="15:18" x14ac:dyDescent="0.25">
      <c r="O283" s="41"/>
      <c r="P283" s="41"/>
      <c r="Q283" s="41"/>
      <c r="R283" s="41"/>
    </row>
    <row r="284" spans="15:18" x14ac:dyDescent="0.25">
      <c r="O284" s="41"/>
      <c r="P284" s="41"/>
      <c r="Q284" s="41"/>
      <c r="R284" s="41"/>
    </row>
    <row r="285" spans="15:18" x14ac:dyDescent="0.25">
      <c r="O285" s="41"/>
      <c r="P285" s="41"/>
      <c r="Q285" s="41"/>
      <c r="R285" s="41"/>
    </row>
    <row r="286" spans="15:18" x14ac:dyDescent="0.25">
      <c r="O286" s="41"/>
      <c r="P286" s="41"/>
      <c r="Q286" s="41"/>
      <c r="R286" s="41"/>
    </row>
    <row r="287" spans="15:18" x14ac:dyDescent="0.25">
      <c r="O287" s="41"/>
      <c r="P287" s="41"/>
      <c r="Q287" s="41"/>
      <c r="R287" s="41"/>
    </row>
    <row r="288" spans="15:18" x14ac:dyDescent="0.25">
      <c r="O288" s="41"/>
      <c r="P288" s="41"/>
      <c r="Q288" s="41"/>
      <c r="R288" s="41"/>
    </row>
    <row r="289" spans="15:18" x14ac:dyDescent="0.25">
      <c r="O289" s="41"/>
      <c r="P289" s="41"/>
      <c r="Q289" s="41"/>
      <c r="R289" s="41"/>
    </row>
    <row r="290" spans="15:18" x14ac:dyDescent="0.25">
      <c r="O290" s="41"/>
      <c r="P290" s="41"/>
      <c r="Q290" s="41"/>
      <c r="R290" s="41"/>
    </row>
    <row r="291" spans="15:18" x14ac:dyDescent="0.25">
      <c r="O291" s="41"/>
      <c r="P291" s="41"/>
      <c r="Q291" s="41"/>
      <c r="R291" s="41"/>
    </row>
    <row r="292" spans="15:18" x14ac:dyDescent="0.25">
      <c r="O292" s="41"/>
      <c r="P292" s="41"/>
      <c r="Q292" s="41"/>
      <c r="R292" s="41"/>
    </row>
    <row r="293" spans="15:18" x14ac:dyDescent="0.25">
      <c r="O293" s="41"/>
      <c r="P293" s="41"/>
      <c r="Q293" s="41"/>
      <c r="R293" s="41"/>
    </row>
    <row r="294" spans="15:18" x14ac:dyDescent="0.25">
      <c r="O294" s="41"/>
      <c r="P294" s="41"/>
      <c r="Q294" s="41"/>
      <c r="R294" s="41"/>
    </row>
    <row r="295" spans="15:18" x14ac:dyDescent="0.25">
      <c r="O295" s="41"/>
      <c r="P295" s="41"/>
      <c r="Q295" s="41"/>
      <c r="R295" s="41"/>
    </row>
    <row r="296" spans="15:18" x14ac:dyDescent="0.25">
      <c r="O296" s="41"/>
      <c r="P296" s="41"/>
      <c r="Q296" s="41"/>
      <c r="R296" s="41"/>
    </row>
    <row r="297" spans="15:18" x14ac:dyDescent="0.25">
      <c r="O297" s="41"/>
      <c r="P297" s="41"/>
      <c r="Q297" s="41"/>
      <c r="R297" s="41"/>
    </row>
    <row r="298" spans="15:18" x14ac:dyDescent="0.25">
      <c r="O298" s="41"/>
      <c r="P298" s="41"/>
      <c r="Q298" s="41"/>
      <c r="R298" s="41"/>
    </row>
    <row r="299" spans="15:18" x14ac:dyDescent="0.25">
      <c r="O299" s="41"/>
      <c r="P299" s="41"/>
      <c r="Q299" s="41"/>
      <c r="R299" s="41"/>
    </row>
    <row r="300" spans="15:18" x14ac:dyDescent="0.25">
      <c r="O300" s="41"/>
      <c r="P300" s="41"/>
      <c r="Q300" s="41"/>
      <c r="R300" s="41"/>
    </row>
    <row r="301" spans="15:18" x14ac:dyDescent="0.25">
      <c r="O301" s="41"/>
      <c r="P301" s="41"/>
      <c r="Q301" s="41"/>
      <c r="R301" s="41"/>
    </row>
    <row r="302" spans="15:18" x14ac:dyDescent="0.25">
      <c r="O302" s="41"/>
      <c r="P302" s="41"/>
      <c r="Q302" s="41"/>
      <c r="R302" s="41"/>
    </row>
    <row r="303" spans="15:18" x14ac:dyDescent="0.25">
      <c r="O303" s="41"/>
      <c r="P303" s="41"/>
      <c r="Q303" s="41"/>
      <c r="R303" s="41"/>
    </row>
    <row r="304" spans="15:18" x14ac:dyDescent="0.25">
      <c r="O304" s="41"/>
      <c r="P304" s="41"/>
      <c r="Q304" s="41"/>
      <c r="R304" s="41"/>
    </row>
  </sheetData>
  <sheetProtection sheet="1" objects="1" scenarios="1"/>
  <autoFilter ref="A1:T219"/>
  <sortState ref="A2:S532">
    <sortCondition ref="A2"/>
  </sortState>
  <phoneticPr fontId="13" type="noConversion"/>
  <printOptions horizontalCentered="1" gridLines="1"/>
  <pageMargins left="0.15748031496062992" right="0.15748031496062992" top="0.59055118110236227" bottom="0.39370078740157483" header="0.51181102362204722" footer="0.11811023622047245"/>
  <pageSetup paperSize="9" scale="47" fitToHeight="8" orientation="landscape" r:id="rId1"/>
  <headerFooter alignWithMargins="0">
    <oddFooter>Sida &amp;P av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C00000"/>
  </sheetPr>
  <dimension ref="A1:H214"/>
  <sheetViews>
    <sheetView zoomScaleNormal="100" workbookViewId="0">
      <selection activeCell="G12" sqref="G12"/>
    </sheetView>
  </sheetViews>
  <sheetFormatPr defaultColWidth="8.85546875" defaultRowHeight="15" x14ac:dyDescent="0.25"/>
  <cols>
    <col min="2" max="2" width="44.7109375" customWidth="1"/>
    <col min="4" max="4" width="49.140625" customWidth="1"/>
    <col min="8" max="8" width="37.28515625" bestFit="1" customWidth="1"/>
  </cols>
  <sheetData>
    <row r="1" spans="1:8" s="1" customFormat="1" ht="14.25" x14ac:dyDescent="0.2">
      <c r="A1" s="1" t="s">
        <v>108</v>
      </c>
      <c r="B1" s="1" t="s">
        <v>112</v>
      </c>
      <c r="C1" s="1" t="s">
        <v>64</v>
      </c>
      <c r="G1" s="1" t="s">
        <v>514</v>
      </c>
    </row>
    <row r="2" spans="1:8" s="1" customFormat="1" ht="14.25" x14ac:dyDescent="0.2">
      <c r="A2" s="1">
        <v>0</v>
      </c>
      <c r="B2" s="1">
        <v>0</v>
      </c>
      <c r="C2" s="1" t="s">
        <v>479</v>
      </c>
      <c r="G2" s="1" t="s">
        <v>513</v>
      </c>
    </row>
    <row r="3" spans="1:8" x14ac:dyDescent="0.25">
      <c r="A3">
        <v>1001</v>
      </c>
      <c r="B3" s="11" t="s">
        <v>139</v>
      </c>
      <c r="C3" t="s">
        <v>65</v>
      </c>
      <c r="G3">
        <v>1620</v>
      </c>
      <c r="H3" s="11"/>
    </row>
    <row r="4" spans="1:8" x14ac:dyDescent="0.25">
      <c r="A4">
        <v>1010</v>
      </c>
      <c r="B4" s="11" t="s">
        <v>140</v>
      </c>
      <c r="C4" t="s">
        <v>65</v>
      </c>
      <c r="G4">
        <v>1630</v>
      </c>
      <c r="H4" s="12"/>
    </row>
    <row r="5" spans="1:8" x14ac:dyDescent="0.25">
      <c r="A5">
        <v>1020</v>
      </c>
      <c r="B5" s="11" t="s">
        <v>141</v>
      </c>
      <c r="C5" t="s">
        <v>65</v>
      </c>
      <c r="G5">
        <v>1640</v>
      </c>
      <c r="H5" s="11"/>
    </row>
    <row r="6" spans="1:8" x14ac:dyDescent="0.25">
      <c r="A6">
        <v>1030</v>
      </c>
      <c r="B6" s="11" t="s">
        <v>142</v>
      </c>
      <c r="C6" t="s">
        <v>65</v>
      </c>
      <c r="G6">
        <v>1650</v>
      </c>
      <c r="H6" s="11"/>
    </row>
    <row r="7" spans="1:8" x14ac:dyDescent="0.25">
      <c r="A7">
        <v>1040</v>
      </c>
      <c r="B7" s="13" t="s">
        <v>132</v>
      </c>
      <c r="C7" t="s">
        <v>65</v>
      </c>
      <c r="G7">
        <v>2180</v>
      </c>
      <c r="H7" s="11"/>
    </row>
    <row r="8" spans="1:8" x14ac:dyDescent="0.25">
      <c r="A8">
        <v>1400</v>
      </c>
      <c r="B8" s="11" t="s">
        <v>143</v>
      </c>
      <c r="C8" t="s">
        <v>65</v>
      </c>
      <c r="G8">
        <v>2193</v>
      </c>
      <c r="H8" s="11"/>
    </row>
    <row r="9" spans="1:8" x14ac:dyDescent="0.25">
      <c r="A9">
        <v>1620</v>
      </c>
      <c r="B9" s="13" t="s">
        <v>131</v>
      </c>
      <c r="C9" t="s">
        <v>65</v>
      </c>
      <c r="G9">
        <v>2200</v>
      </c>
      <c r="H9" s="11"/>
    </row>
    <row r="10" spans="1:8" x14ac:dyDescent="0.25">
      <c r="A10">
        <v>1630</v>
      </c>
      <c r="B10" s="13" t="s">
        <v>127</v>
      </c>
      <c r="C10" t="s">
        <v>65</v>
      </c>
      <c r="G10">
        <v>2300</v>
      </c>
      <c r="H10" s="11"/>
    </row>
    <row r="11" spans="1:8" x14ac:dyDescent="0.25">
      <c r="A11">
        <v>1640</v>
      </c>
      <c r="B11" s="13" t="s">
        <v>128</v>
      </c>
      <c r="C11" t="s">
        <v>65</v>
      </c>
      <c r="G11">
        <v>2650</v>
      </c>
      <c r="H11" s="13"/>
    </row>
    <row r="12" spans="1:8" x14ac:dyDescent="0.25">
      <c r="A12">
        <v>1650</v>
      </c>
      <c r="B12" s="11" t="s">
        <v>9</v>
      </c>
      <c r="C12" t="s">
        <v>65</v>
      </c>
      <c r="G12">
        <v>2750</v>
      </c>
      <c r="H12" s="11"/>
    </row>
    <row r="13" spans="1:8" x14ac:dyDescent="0.25">
      <c r="A13">
        <v>1660</v>
      </c>
      <c r="B13" s="11" t="s">
        <v>274</v>
      </c>
      <c r="C13" t="s">
        <v>65</v>
      </c>
      <c r="G13">
        <v>3306</v>
      </c>
      <c r="H13" s="13"/>
    </row>
    <row r="14" spans="1:8" x14ac:dyDescent="0.25">
      <c r="A14">
        <v>2000</v>
      </c>
      <c r="B14" s="11" t="s">
        <v>144</v>
      </c>
      <c r="C14" t="s">
        <v>66</v>
      </c>
      <c r="G14">
        <v>3850</v>
      </c>
      <c r="H14" s="11"/>
    </row>
    <row r="15" spans="1:8" x14ac:dyDescent="0.25">
      <c r="A15">
        <v>2001</v>
      </c>
      <c r="B15" s="11" t="s">
        <v>145</v>
      </c>
      <c r="C15" t="s">
        <v>66</v>
      </c>
      <c r="G15">
        <v>5100</v>
      </c>
      <c r="H15" s="11"/>
    </row>
    <row r="16" spans="1:8" x14ac:dyDescent="0.25">
      <c r="A16">
        <v>2011</v>
      </c>
      <c r="B16" s="11" t="s">
        <v>115</v>
      </c>
      <c r="C16" t="s">
        <v>66</v>
      </c>
      <c r="G16">
        <v>5400</v>
      </c>
      <c r="H16" s="11"/>
    </row>
    <row r="17" spans="1:8" x14ac:dyDescent="0.25">
      <c r="A17">
        <v>2050</v>
      </c>
      <c r="B17" s="11" t="s">
        <v>146</v>
      </c>
      <c r="C17" t="s">
        <v>66</v>
      </c>
      <c r="G17">
        <v>5410</v>
      </c>
      <c r="H17" s="11"/>
    </row>
    <row r="18" spans="1:8" x14ac:dyDescent="0.25">
      <c r="A18">
        <v>2160</v>
      </c>
      <c r="B18" s="11" t="s">
        <v>116</v>
      </c>
      <c r="C18" t="s">
        <v>66</v>
      </c>
      <c r="G18">
        <v>5500</v>
      </c>
      <c r="H18" s="11"/>
    </row>
    <row r="19" spans="1:8" x14ac:dyDescent="0.25">
      <c r="A19">
        <v>2170</v>
      </c>
      <c r="B19" s="57" t="s">
        <v>316</v>
      </c>
      <c r="C19" t="s">
        <v>66</v>
      </c>
      <c r="G19">
        <v>5730</v>
      </c>
      <c r="H19" s="11"/>
    </row>
    <row r="20" spans="1:8" x14ac:dyDescent="0.25">
      <c r="A20">
        <v>2180</v>
      </c>
      <c r="B20" s="11" t="s">
        <v>147</v>
      </c>
      <c r="C20" t="s">
        <v>66</v>
      </c>
      <c r="G20">
        <v>5740</v>
      </c>
      <c r="H20" s="11"/>
    </row>
    <row r="21" spans="1:8" x14ac:dyDescent="0.25">
      <c r="A21">
        <v>2190</v>
      </c>
      <c r="B21" s="11" t="s">
        <v>148</v>
      </c>
      <c r="C21" t="s">
        <v>66</v>
      </c>
      <c r="H21" s="11"/>
    </row>
    <row r="22" spans="1:8" x14ac:dyDescent="0.25">
      <c r="A22">
        <v>2191</v>
      </c>
      <c r="B22" s="11" t="s">
        <v>275</v>
      </c>
      <c r="C22" t="s">
        <v>66</v>
      </c>
      <c r="H22" s="11"/>
    </row>
    <row r="23" spans="1:8" x14ac:dyDescent="0.25">
      <c r="A23">
        <v>2192</v>
      </c>
      <c r="B23" s="11" t="s">
        <v>273</v>
      </c>
      <c r="C23" t="s">
        <v>66</v>
      </c>
      <c r="H23" s="11"/>
    </row>
    <row r="24" spans="1:8" x14ac:dyDescent="0.25">
      <c r="A24">
        <v>2193</v>
      </c>
      <c r="B24" s="57" t="s">
        <v>499</v>
      </c>
      <c r="C24" t="s">
        <v>66</v>
      </c>
      <c r="H24" s="11"/>
    </row>
    <row r="25" spans="1:8" x14ac:dyDescent="0.25">
      <c r="A25">
        <v>2200</v>
      </c>
      <c r="B25" s="11" t="s">
        <v>149</v>
      </c>
      <c r="C25" t="s">
        <v>66</v>
      </c>
      <c r="H25" s="11"/>
    </row>
    <row r="26" spans="1:8" x14ac:dyDescent="0.25">
      <c r="A26">
        <v>2220</v>
      </c>
      <c r="B26" s="11" t="s">
        <v>150</v>
      </c>
      <c r="C26" t="s">
        <v>66</v>
      </c>
      <c r="H26" s="11"/>
    </row>
    <row r="27" spans="1:8" x14ac:dyDescent="0.25">
      <c r="A27">
        <v>2270</v>
      </c>
      <c r="B27" s="42" t="s">
        <v>440</v>
      </c>
      <c r="C27" t="s">
        <v>66</v>
      </c>
      <c r="H27" s="11"/>
    </row>
    <row r="28" spans="1:8" x14ac:dyDescent="0.25">
      <c r="A28">
        <v>2271</v>
      </c>
      <c r="B28" s="11" t="s">
        <v>151</v>
      </c>
      <c r="C28" t="s">
        <v>66</v>
      </c>
    </row>
    <row r="29" spans="1:8" x14ac:dyDescent="0.25">
      <c r="A29">
        <v>2272</v>
      </c>
      <c r="B29" s="11" t="s">
        <v>155</v>
      </c>
      <c r="C29" t="s">
        <v>66</v>
      </c>
    </row>
    <row r="30" spans="1:8" x14ac:dyDescent="0.25">
      <c r="A30">
        <v>2300</v>
      </c>
      <c r="B30" s="11" t="s">
        <v>152</v>
      </c>
      <c r="C30" t="s">
        <v>66</v>
      </c>
      <c r="H30" s="12"/>
    </row>
    <row r="31" spans="1:8" x14ac:dyDescent="0.25">
      <c r="A31">
        <v>2340</v>
      </c>
      <c r="B31" s="11" t="s">
        <v>153</v>
      </c>
      <c r="C31" t="s">
        <v>66</v>
      </c>
      <c r="H31" s="11"/>
    </row>
    <row r="32" spans="1:8" x14ac:dyDescent="0.25">
      <c r="A32" s="204">
        <v>2360</v>
      </c>
      <c r="B32" s="243" t="s">
        <v>154</v>
      </c>
      <c r="C32" s="204" t="s">
        <v>66</v>
      </c>
      <c r="D32" s="204" t="s">
        <v>564</v>
      </c>
      <c r="H32" s="11"/>
    </row>
    <row r="33" spans="1:8" x14ac:dyDescent="0.25">
      <c r="A33">
        <v>2400</v>
      </c>
      <c r="B33" s="11" t="s">
        <v>156</v>
      </c>
      <c r="C33" t="s">
        <v>66</v>
      </c>
      <c r="H33" s="11"/>
    </row>
    <row r="34" spans="1:8" x14ac:dyDescent="0.25">
      <c r="A34">
        <v>2401</v>
      </c>
      <c r="B34" s="11" t="s">
        <v>157</v>
      </c>
      <c r="C34" t="s">
        <v>66</v>
      </c>
      <c r="H34" s="11"/>
    </row>
    <row r="35" spans="1:8" x14ac:dyDescent="0.25">
      <c r="A35">
        <v>2500</v>
      </c>
      <c r="B35" s="57" t="s">
        <v>469</v>
      </c>
      <c r="C35" t="s">
        <v>66</v>
      </c>
      <c r="H35" s="11"/>
    </row>
    <row r="36" spans="1:8" x14ac:dyDescent="0.25">
      <c r="A36">
        <v>2600</v>
      </c>
      <c r="B36" s="11" t="s">
        <v>158</v>
      </c>
      <c r="C36" t="s">
        <v>66</v>
      </c>
      <c r="H36" s="11"/>
    </row>
    <row r="37" spans="1:8" x14ac:dyDescent="0.25">
      <c r="A37">
        <v>2650</v>
      </c>
      <c r="B37" s="57" t="s">
        <v>160</v>
      </c>
      <c r="C37" t="s">
        <v>66</v>
      </c>
      <c r="D37" t="s">
        <v>953</v>
      </c>
      <c r="H37" s="11"/>
    </row>
    <row r="38" spans="1:8" x14ac:dyDescent="0.25">
      <c r="A38">
        <v>2700</v>
      </c>
      <c r="B38" s="11" t="s">
        <v>159</v>
      </c>
      <c r="C38" t="s">
        <v>66</v>
      </c>
      <c r="H38" s="11"/>
    </row>
    <row r="39" spans="1:8" x14ac:dyDescent="0.25">
      <c r="A39">
        <v>2750</v>
      </c>
      <c r="B39" s="11" t="s">
        <v>160</v>
      </c>
      <c r="C39" t="s">
        <v>66</v>
      </c>
      <c r="H39" s="11"/>
    </row>
    <row r="40" spans="1:8" x14ac:dyDescent="0.25">
      <c r="A40">
        <v>2800</v>
      </c>
      <c r="B40" s="11" t="s">
        <v>161</v>
      </c>
      <c r="C40" t="s">
        <v>66</v>
      </c>
      <c r="H40" s="13"/>
    </row>
    <row r="41" spans="1:8" x14ac:dyDescent="0.25">
      <c r="A41">
        <v>2850</v>
      </c>
      <c r="B41" s="13" t="s">
        <v>129</v>
      </c>
      <c r="C41" t="s">
        <v>66</v>
      </c>
      <c r="H41" s="11"/>
    </row>
    <row r="42" spans="1:8" x14ac:dyDescent="0.25">
      <c r="A42">
        <v>2880</v>
      </c>
      <c r="B42" s="11" t="s">
        <v>162</v>
      </c>
      <c r="C42" t="s">
        <v>66</v>
      </c>
      <c r="H42" s="11"/>
    </row>
    <row r="43" spans="1:8" x14ac:dyDescent="0.25">
      <c r="A43">
        <v>2900</v>
      </c>
      <c r="B43" s="11" t="s">
        <v>163</v>
      </c>
      <c r="C43" t="s">
        <v>66</v>
      </c>
      <c r="H43" s="11"/>
    </row>
    <row r="44" spans="1:8" x14ac:dyDescent="0.25">
      <c r="A44">
        <v>2905</v>
      </c>
      <c r="B44" s="11" t="s">
        <v>164</v>
      </c>
      <c r="C44" t="s">
        <v>66</v>
      </c>
      <c r="H44" s="11"/>
    </row>
    <row r="45" spans="1:8" x14ac:dyDescent="0.25">
      <c r="A45">
        <v>2910</v>
      </c>
      <c r="B45" s="11" t="s">
        <v>165</v>
      </c>
      <c r="C45" t="s">
        <v>66</v>
      </c>
      <c r="H45" s="13"/>
    </row>
    <row r="46" spans="1:8" x14ac:dyDescent="0.25">
      <c r="A46">
        <v>2911</v>
      </c>
      <c r="B46" s="11" t="s">
        <v>166</v>
      </c>
      <c r="C46" t="s">
        <v>66</v>
      </c>
      <c r="H46" s="11"/>
    </row>
    <row r="47" spans="1:8" x14ac:dyDescent="0.25">
      <c r="A47">
        <v>2912</v>
      </c>
      <c r="B47" s="11" t="s">
        <v>167</v>
      </c>
      <c r="C47" t="s">
        <v>66</v>
      </c>
      <c r="H47" s="11"/>
    </row>
    <row r="48" spans="1:8" x14ac:dyDescent="0.25">
      <c r="A48">
        <v>2913</v>
      </c>
      <c r="B48" s="11" t="s">
        <v>168</v>
      </c>
      <c r="C48" t="s">
        <v>66</v>
      </c>
      <c r="H48" s="11"/>
    </row>
    <row r="49" spans="1:8" x14ac:dyDescent="0.25">
      <c r="A49">
        <v>2914</v>
      </c>
      <c r="B49" s="11" t="s">
        <v>117</v>
      </c>
      <c r="C49" t="s">
        <v>66</v>
      </c>
      <c r="H49" s="12"/>
    </row>
    <row r="50" spans="1:8" x14ac:dyDescent="0.25">
      <c r="A50">
        <v>2915</v>
      </c>
      <c r="B50" s="12" t="s">
        <v>169</v>
      </c>
      <c r="C50" t="s">
        <v>66</v>
      </c>
      <c r="H50" s="12"/>
    </row>
    <row r="51" spans="1:8" x14ac:dyDescent="0.25">
      <c r="A51">
        <v>3000</v>
      </c>
      <c r="B51" s="11" t="s">
        <v>170</v>
      </c>
      <c r="C51" t="s">
        <v>67</v>
      </c>
      <c r="H51" s="11"/>
    </row>
    <row r="52" spans="1:8" x14ac:dyDescent="0.25">
      <c r="A52">
        <v>3001</v>
      </c>
      <c r="B52" s="11" t="s">
        <v>171</v>
      </c>
      <c r="C52" t="s">
        <v>67</v>
      </c>
      <c r="H52" s="11"/>
    </row>
    <row r="53" spans="1:8" x14ac:dyDescent="0.25">
      <c r="A53">
        <v>3003</v>
      </c>
      <c r="B53" s="11" t="s">
        <v>172</v>
      </c>
      <c r="C53" t="s">
        <v>67</v>
      </c>
      <c r="H53" s="11"/>
    </row>
    <row r="54" spans="1:8" x14ac:dyDescent="0.25">
      <c r="A54">
        <v>3005</v>
      </c>
      <c r="B54" s="12" t="s">
        <v>173</v>
      </c>
      <c r="C54" t="s">
        <v>67</v>
      </c>
      <c r="H54" s="11"/>
    </row>
    <row r="55" spans="1:8" x14ac:dyDescent="0.25">
      <c r="A55">
        <v>3010</v>
      </c>
      <c r="B55" s="11" t="s">
        <v>174</v>
      </c>
      <c r="C55" t="s">
        <v>67</v>
      </c>
      <c r="H55" s="11"/>
    </row>
    <row r="56" spans="1:8" x14ac:dyDescent="0.25">
      <c r="A56">
        <v>3030</v>
      </c>
      <c r="B56" s="11" t="s">
        <v>175</v>
      </c>
      <c r="C56" t="s">
        <v>67</v>
      </c>
      <c r="H56" s="11"/>
    </row>
    <row r="57" spans="1:8" x14ac:dyDescent="0.25">
      <c r="A57">
        <v>3100</v>
      </c>
      <c r="B57" s="11" t="s">
        <v>176</v>
      </c>
      <c r="C57" t="s">
        <v>67</v>
      </c>
      <c r="H57" s="11"/>
    </row>
    <row r="58" spans="1:8" x14ac:dyDescent="0.25">
      <c r="A58">
        <v>3101</v>
      </c>
      <c r="B58" s="11" t="s">
        <v>177</v>
      </c>
      <c r="C58" t="s">
        <v>67</v>
      </c>
      <c r="H58" s="11"/>
    </row>
    <row r="59" spans="1:8" x14ac:dyDescent="0.25">
      <c r="A59">
        <v>3102</v>
      </c>
      <c r="B59" s="11" t="s">
        <v>178</v>
      </c>
      <c r="C59" t="s">
        <v>67</v>
      </c>
      <c r="H59" s="11"/>
    </row>
    <row r="60" spans="1:8" x14ac:dyDescent="0.25">
      <c r="A60">
        <v>3103</v>
      </c>
      <c r="B60" s="11" t="s">
        <v>179</v>
      </c>
      <c r="C60" t="s">
        <v>67</v>
      </c>
      <c r="H60" s="11"/>
    </row>
    <row r="61" spans="1:8" x14ac:dyDescent="0.25">
      <c r="A61">
        <v>3104</v>
      </c>
      <c r="B61" s="11" t="s">
        <v>180</v>
      </c>
      <c r="C61" t="s">
        <v>67</v>
      </c>
      <c r="H61" s="11"/>
    </row>
    <row r="62" spans="1:8" x14ac:dyDescent="0.25">
      <c r="A62">
        <v>3105</v>
      </c>
      <c r="B62" s="11" t="s">
        <v>181</v>
      </c>
      <c r="C62" t="s">
        <v>67</v>
      </c>
      <c r="H62" s="11"/>
    </row>
    <row r="63" spans="1:8" x14ac:dyDescent="0.25">
      <c r="A63">
        <v>3106</v>
      </c>
      <c r="B63" s="11" t="s">
        <v>182</v>
      </c>
      <c r="C63" t="s">
        <v>67</v>
      </c>
      <c r="H63" s="11"/>
    </row>
    <row r="64" spans="1:8" x14ac:dyDescent="0.25">
      <c r="A64">
        <v>3107</v>
      </c>
      <c r="B64" s="11" t="s">
        <v>183</v>
      </c>
      <c r="C64" t="s">
        <v>67</v>
      </c>
      <c r="H64" s="11"/>
    </row>
    <row r="65" spans="1:8" x14ac:dyDescent="0.25">
      <c r="A65">
        <v>3108</v>
      </c>
      <c r="B65" s="11" t="s">
        <v>184</v>
      </c>
      <c r="C65" t="s">
        <v>67</v>
      </c>
      <c r="H65" s="11"/>
    </row>
    <row r="66" spans="1:8" x14ac:dyDescent="0.25">
      <c r="A66">
        <v>3150</v>
      </c>
      <c r="B66" s="11" t="s">
        <v>185</v>
      </c>
      <c r="C66" t="s">
        <v>67</v>
      </c>
      <c r="H66" s="11"/>
    </row>
    <row r="67" spans="1:8" x14ac:dyDescent="0.25">
      <c r="A67">
        <v>3151</v>
      </c>
      <c r="B67" s="11" t="s">
        <v>186</v>
      </c>
      <c r="C67" t="s">
        <v>67</v>
      </c>
      <c r="H67" s="11"/>
    </row>
    <row r="68" spans="1:8" x14ac:dyDescent="0.25">
      <c r="A68">
        <v>3152</v>
      </c>
      <c r="B68" s="11" t="s">
        <v>187</v>
      </c>
      <c r="C68" t="s">
        <v>67</v>
      </c>
      <c r="H68" s="11"/>
    </row>
    <row r="69" spans="1:8" x14ac:dyDescent="0.25">
      <c r="A69">
        <v>3153</v>
      </c>
      <c r="B69" s="11" t="s">
        <v>188</v>
      </c>
      <c r="C69" t="s">
        <v>67</v>
      </c>
      <c r="H69" s="13"/>
    </row>
    <row r="70" spans="1:8" x14ac:dyDescent="0.25">
      <c r="A70">
        <v>3154</v>
      </c>
      <c r="B70" s="12" t="s">
        <v>189</v>
      </c>
      <c r="C70" t="s">
        <v>67</v>
      </c>
      <c r="H70" s="13"/>
    </row>
    <row r="71" spans="1:8" x14ac:dyDescent="0.25">
      <c r="A71">
        <v>3220</v>
      </c>
      <c r="B71" s="11" t="s">
        <v>190</v>
      </c>
      <c r="C71" t="s">
        <v>67</v>
      </c>
      <c r="H71" s="12"/>
    </row>
    <row r="72" spans="1:8" x14ac:dyDescent="0.25">
      <c r="A72">
        <v>3221</v>
      </c>
      <c r="B72" s="13" t="s">
        <v>130</v>
      </c>
      <c r="C72" t="s">
        <v>67</v>
      </c>
      <c r="H72" s="11"/>
    </row>
    <row r="73" spans="1:8" x14ac:dyDescent="0.25">
      <c r="A73">
        <v>3250</v>
      </c>
      <c r="B73" s="11" t="s">
        <v>191</v>
      </c>
      <c r="C73" t="s">
        <v>67</v>
      </c>
      <c r="H73" s="13"/>
    </row>
    <row r="74" spans="1:8" x14ac:dyDescent="0.25">
      <c r="A74">
        <v>3251</v>
      </c>
      <c r="B74" s="11" t="s">
        <v>192</v>
      </c>
      <c r="C74" t="s">
        <v>67</v>
      </c>
      <c r="H74" s="11"/>
    </row>
    <row r="75" spans="1:8" x14ac:dyDescent="0.25">
      <c r="A75">
        <v>3252</v>
      </c>
      <c r="B75" s="11" t="s">
        <v>193</v>
      </c>
      <c r="C75" t="s">
        <v>67</v>
      </c>
      <c r="H75" s="11"/>
    </row>
    <row r="76" spans="1:8" x14ac:dyDescent="0.25">
      <c r="A76">
        <v>3254</v>
      </c>
      <c r="B76" s="11" t="s">
        <v>194</v>
      </c>
      <c r="C76" t="s">
        <v>67</v>
      </c>
      <c r="H76" s="11"/>
    </row>
    <row r="77" spans="1:8" x14ac:dyDescent="0.25">
      <c r="A77">
        <v>3255</v>
      </c>
      <c r="B77" s="11" t="s">
        <v>195</v>
      </c>
      <c r="C77" t="s">
        <v>67</v>
      </c>
      <c r="H77" s="11"/>
    </row>
    <row r="78" spans="1:8" x14ac:dyDescent="0.25">
      <c r="A78">
        <v>3256</v>
      </c>
      <c r="B78" s="11" t="s">
        <v>196</v>
      </c>
      <c r="C78" t="s">
        <v>67</v>
      </c>
      <c r="H78" s="11"/>
    </row>
    <row r="79" spans="1:8" x14ac:dyDescent="0.25">
      <c r="A79">
        <v>3258</v>
      </c>
      <c r="B79" s="11" t="s">
        <v>198</v>
      </c>
      <c r="C79" t="s">
        <v>67</v>
      </c>
      <c r="H79" s="12"/>
    </row>
    <row r="80" spans="1:8" x14ac:dyDescent="0.25">
      <c r="A80">
        <v>3300</v>
      </c>
      <c r="B80" s="11" t="s">
        <v>199</v>
      </c>
      <c r="C80" t="s">
        <v>67</v>
      </c>
      <c r="H80" s="11"/>
    </row>
    <row r="81" spans="1:8" x14ac:dyDescent="0.25">
      <c r="A81">
        <v>3301</v>
      </c>
      <c r="B81" s="11" t="s">
        <v>200</v>
      </c>
      <c r="C81" t="s">
        <v>67</v>
      </c>
      <c r="H81" s="11"/>
    </row>
    <row r="82" spans="1:8" x14ac:dyDescent="0.25">
      <c r="A82">
        <v>3302</v>
      </c>
      <c r="B82" s="11" t="s">
        <v>201</v>
      </c>
      <c r="C82" t="s">
        <v>67</v>
      </c>
      <c r="H82" s="11"/>
    </row>
    <row r="83" spans="1:8" x14ac:dyDescent="0.25">
      <c r="A83">
        <v>3303</v>
      </c>
      <c r="B83" s="11" t="s">
        <v>202</v>
      </c>
      <c r="C83" t="s">
        <v>67</v>
      </c>
      <c r="H83" s="11"/>
    </row>
    <row r="84" spans="1:8" x14ac:dyDescent="0.25">
      <c r="A84">
        <v>3304</v>
      </c>
      <c r="B84" s="11" t="s">
        <v>203</v>
      </c>
      <c r="C84" t="s">
        <v>67</v>
      </c>
      <c r="H84" s="11"/>
    </row>
    <row r="85" spans="1:8" x14ac:dyDescent="0.25">
      <c r="A85">
        <v>3305</v>
      </c>
      <c r="B85" s="11" t="s">
        <v>204</v>
      </c>
      <c r="C85" t="s">
        <v>67</v>
      </c>
      <c r="H85" s="11"/>
    </row>
    <row r="86" spans="1:8" x14ac:dyDescent="0.25">
      <c r="A86">
        <v>3306</v>
      </c>
      <c r="B86" s="57" t="s">
        <v>197</v>
      </c>
      <c r="C86" t="s">
        <v>67</v>
      </c>
      <c r="D86" t="s">
        <v>500</v>
      </c>
      <c r="H86" s="11"/>
    </row>
    <row r="87" spans="1:8" x14ac:dyDescent="0.25">
      <c r="A87">
        <v>3350</v>
      </c>
      <c r="B87" s="11" t="s">
        <v>205</v>
      </c>
      <c r="C87" t="s">
        <v>67</v>
      </c>
      <c r="H87" s="11"/>
    </row>
    <row r="88" spans="1:8" x14ac:dyDescent="0.25">
      <c r="A88">
        <v>3351</v>
      </c>
      <c r="B88" s="11" t="s">
        <v>206</v>
      </c>
      <c r="C88" t="s">
        <v>67</v>
      </c>
      <c r="H88" s="11"/>
    </row>
    <row r="89" spans="1:8" x14ac:dyDescent="0.25">
      <c r="A89">
        <v>3352</v>
      </c>
      <c r="B89" s="11" t="s">
        <v>207</v>
      </c>
      <c r="C89" t="s">
        <v>67</v>
      </c>
      <c r="H89" s="11"/>
    </row>
    <row r="90" spans="1:8" x14ac:dyDescent="0.25">
      <c r="A90">
        <v>3353</v>
      </c>
      <c r="B90" s="11" t="s">
        <v>208</v>
      </c>
      <c r="C90" t="s">
        <v>67</v>
      </c>
      <c r="H90" s="11"/>
    </row>
    <row r="91" spans="1:8" x14ac:dyDescent="0.25">
      <c r="A91">
        <v>3400</v>
      </c>
      <c r="B91" s="11" t="s">
        <v>209</v>
      </c>
      <c r="C91" t="s">
        <v>67</v>
      </c>
      <c r="H91" s="11"/>
    </row>
    <row r="92" spans="1:8" x14ac:dyDescent="0.25">
      <c r="A92">
        <v>3401</v>
      </c>
      <c r="B92" s="11" t="s">
        <v>210</v>
      </c>
      <c r="C92" t="s">
        <v>67</v>
      </c>
      <c r="H92" s="11"/>
    </row>
    <row r="93" spans="1:8" x14ac:dyDescent="0.25">
      <c r="A93">
        <v>3402</v>
      </c>
      <c r="B93" s="11" t="s">
        <v>211</v>
      </c>
      <c r="C93" t="s">
        <v>67</v>
      </c>
      <c r="H93" s="11"/>
    </row>
    <row r="94" spans="1:8" x14ac:dyDescent="0.25">
      <c r="A94">
        <v>3403</v>
      </c>
      <c r="B94" s="11" t="s">
        <v>212</v>
      </c>
      <c r="C94" t="s">
        <v>67</v>
      </c>
      <c r="H94" s="11"/>
    </row>
    <row r="95" spans="1:8" x14ac:dyDescent="0.25">
      <c r="A95">
        <v>3405</v>
      </c>
      <c r="B95" s="11" t="s">
        <v>213</v>
      </c>
      <c r="C95" t="s">
        <v>67</v>
      </c>
      <c r="H95" s="11"/>
    </row>
    <row r="96" spans="1:8" x14ac:dyDescent="0.25">
      <c r="A96">
        <v>3450</v>
      </c>
      <c r="B96" s="11" t="s">
        <v>214</v>
      </c>
      <c r="C96" t="s">
        <v>67</v>
      </c>
      <c r="H96" s="11"/>
    </row>
    <row r="97" spans="1:8" x14ac:dyDescent="0.25">
      <c r="A97">
        <v>3451</v>
      </c>
      <c r="B97" s="11" t="s">
        <v>215</v>
      </c>
      <c r="C97" t="s">
        <v>67</v>
      </c>
      <c r="H97" s="11"/>
    </row>
    <row r="98" spans="1:8" x14ac:dyDescent="0.25">
      <c r="A98">
        <v>3452</v>
      </c>
      <c r="B98" s="11" t="s">
        <v>216</v>
      </c>
      <c r="C98" t="s">
        <v>67</v>
      </c>
      <c r="H98" s="11"/>
    </row>
    <row r="99" spans="1:8" x14ac:dyDescent="0.25">
      <c r="A99">
        <v>3453</v>
      </c>
      <c r="B99" s="11" t="s">
        <v>217</v>
      </c>
      <c r="C99" t="s">
        <v>67</v>
      </c>
      <c r="H99" s="11"/>
    </row>
    <row r="100" spans="1:8" x14ac:dyDescent="0.25">
      <c r="A100">
        <v>3454</v>
      </c>
      <c r="B100" s="11" t="s">
        <v>218</v>
      </c>
      <c r="C100" t="s">
        <v>67</v>
      </c>
      <c r="H100" s="11"/>
    </row>
    <row r="101" spans="1:8" x14ac:dyDescent="0.25">
      <c r="A101">
        <v>3455</v>
      </c>
      <c r="B101" s="11" t="s">
        <v>219</v>
      </c>
      <c r="C101" t="s">
        <v>67</v>
      </c>
      <c r="H101" s="11"/>
    </row>
    <row r="102" spans="1:8" x14ac:dyDescent="0.25">
      <c r="A102">
        <v>3456</v>
      </c>
      <c r="B102" s="11" t="s">
        <v>220</v>
      </c>
      <c r="C102" t="s">
        <v>67</v>
      </c>
      <c r="H102" s="11"/>
    </row>
    <row r="103" spans="1:8" x14ac:dyDescent="0.25">
      <c r="A103">
        <v>3500</v>
      </c>
      <c r="B103" s="11" t="s">
        <v>221</v>
      </c>
      <c r="C103" t="s">
        <v>67</v>
      </c>
      <c r="H103" s="11"/>
    </row>
    <row r="104" spans="1:8" x14ac:dyDescent="0.25">
      <c r="A104">
        <v>3550</v>
      </c>
      <c r="B104" s="11" t="s">
        <v>222</v>
      </c>
      <c r="C104" t="s">
        <v>67</v>
      </c>
      <c r="H104" s="13"/>
    </row>
    <row r="105" spans="1:8" x14ac:dyDescent="0.25">
      <c r="A105">
        <v>3600</v>
      </c>
      <c r="B105" s="11" t="s">
        <v>223</v>
      </c>
      <c r="C105" t="s">
        <v>67</v>
      </c>
      <c r="H105" s="11"/>
    </row>
    <row r="106" spans="1:8" x14ac:dyDescent="0.25">
      <c r="A106">
        <v>3601</v>
      </c>
      <c r="B106" s="11" t="s">
        <v>224</v>
      </c>
      <c r="C106" t="s">
        <v>67</v>
      </c>
      <c r="H106" s="11"/>
    </row>
    <row r="107" spans="1:8" x14ac:dyDescent="0.25">
      <c r="A107">
        <v>3602</v>
      </c>
      <c r="B107" s="11" t="s">
        <v>225</v>
      </c>
      <c r="C107" t="s">
        <v>67</v>
      </c>
      <c r="H107" s="11"/>
    </row>
    <row r="108" spans="1:8" x14ac:dyDescent="0.25">
      <c r="A108">
        <v>3603</v>
      </c>
      <c r="B108" s="11" t="s">
        <v>226</v>
      </c>
      <c r="C108" t="s">
        <v>67</v>
      </c>
      <c r="H108" s="11"/>
    </row>
    <row r="109" spans="1:8" x14ac:dyDescent="0.25">
      <c r="A109">
        <v>3700</v>
      </c>
      <c r="B109" s="11" t="s">
        <v>227</v>
      </c>
      <c r="C109" t="s">
        <v>67</v>
      </c>
      <c r="H109" s="11"/>
    </row>
    <row r="110" spans="1:8" x14ac:dyDescent="0.25">
      <c r="A110">
        <v>3701</v>
      </c>
      <c r="B110" s="11" t="s">
        <v>228</v>
      </c>
      <c r="C110" t="s">
        <v>67</v>
      </c>
      <c r="H110" s="11"/>
    </row>
    <row r="111" spans="1:8" x14ac:dyDescent="0.25">
      <c r="A111">
        <v>3702</v>
      </c>
      <c r="B111" s="11" t="s">
        <v>229</v>
      </c>
      <c r="C111" t="s">
        <v>67</v>
      </c>
      <c r="H111" s="11"/>
    </row>
    <row r="112" spans="1:8" x14ac:dyDescent="0.25">
      <c r="A112">
        <v>3703</v>
      </c>
      <c r="B112" s="11" t="s">
        <v>230</v>
      </c>
      <c r="C112" t="s">
        <v>67</v>
      </c>
      <c r="H112" s="11"/>
    </row>
    <row r="113" spans="1:8" x14ac:dyDescent="0.25">
      <c r="A113">
        <v>3705</v>
      </c>
      <c r="B113" s="11" t="s">
        <v>231</v>
      </c>
      <c r="C113" t="s">
        <v>67</v>
      </c>
      <c r="H113" s="11"/>
    </row>
    <row r="114" spans="1:8" x14ac:dyDescent="0.25">
      <c r="A114">
        <v>3706</v>
      </c>
      <c r="B114" s="11" t="s">
        <v>232</v>
      </c>
      <c r="C114" t="s">
        <v>67</v>
      </c>
      <c r="H114" s="11"/>
    </row>
    <row r="115" spans="1:8" x14ac:dyDescent="0.25">
      <c r="A115">
        <v>3707</v>
      </c>
      <c r="B115" s="11" t="s">
        <v>233</v>
      </c>
      <c r="C115" t="s">
        <v>67</v>
      </c>
      <c r="H115" s="11"/>
    </row>
    <row r="116" spans="1:8" x14ac:dyDescent="0.25">
      <c r="A116">
        <v>3708</v>
      </c>
      <c r="B116" s="11" t="s">
        <v>234</v>
      </c>
      <c r="C116" t="s">
        <v>67</v>
      </c>
      <c r="H116" s="11"/>
    </row>
    <row r="117" spans="1:8" x14ac:dyDescent="0.25">
      <c r="A117">
        <v>3709</v>
      </c>
      <c r="B117" s="11" t="s">
        <v>235</v>
      </c>
      <c r="C117" t="s">
        <v>67</v>
      </c>
      <c r="H117" s="11"/>
    </row>
    <row r="118" spans="1:8" x14ac:dyDescent="0.25">
      <c r="A118">
        <v>3710</v>
      </c>
      <c r="B118" s="11" t="s">
        <v>236</v>
      </c>
      <c r="C118" t="s">
        <v>67</v>
      </c>
      <c r="H118" s="11"/>
    </row>
    <row r="119" spans="1:8" x14ac:dyDescent="0.25">
      <c r="A119">
        <v>3850</v>
      </c>
      <c r="B119" s="57" t="s">
        <v>470</v>
      </c>
      <c r="C119" t="s">
        <v>67</v>
      </c>
      <c r="D119" t="s">
        <v>811</v>
      </c>
      <c r="H119" s="11"/>
    </row>
    <row r="120" spans="1:8" x14ac:dyDescent="0.25">
      <c r="A120">
        <v>3900</v>
      </c>
      <c r="B120" s="11" t="s">
        <v>237</v>
      </c>
      <c r="C120" t="s">
        <v>67</v>
      </c>
      <c r="H120" s="11"/>
    </row>
    <row r="121" spans="1:8" x14ac:dyDescent="0.25">
      <c r="A121">
        <v>3910</v>
      </c>
      <c r="B121" s="11" t="s">
        <v>238</v>
      </c>
      <c r="C121" t="s">
        <v>67</v>
      </c>
      <c r="H121" s="11"/>
    </row>
    <row r="122" spans="1:8" x14ac:dyDescent="0.25">
      <c r="A122">
        <v>3920</v>
      </c>
      <c r="B122" s="13" t="s">
        <v>133</v>
      </c>
      <c r="C122" t="s">
        <v>67</v>
      </c>
      <c r="H122" s="11"/>
    </row>
    <row r="123" spans="1:8" x14ac:dyDescent="0.25">
      <c r="A123">
        <v>3921</v>
      </c>
      <c r="B123" s="13" t="s">
        <v>134</v>
      </c>
      <c r="C123" t="s">
        <v>67</v>
      </c>
      <c r="H123" s="11"/>
    </row>
    <row r="124" spans="1:8" x14ac:dyDescent="0.25">
      <c r="A124">
        <v>3922</v>
      </c>
      <c r="B124" s="13" t="s">
        <v>135</v>
      </c>
      <c r="C124" t="s">
        <v>67</v>
      </c>
      <c r="H124" s="11"/>
    </row>
    <row r="125" spans="1:8" x14ac:dyDescent="0.25">
      <c r="A125">
        <v>3923</v>
      </c>
      <c r="B125" s="13" t="s">
        <v>136</v>
      </c>
      <c r="C125" t="s">
        <v>67</v>
      </c>
      <c r="H125" s="11"/>
    </row>
    <row r="126" spans="1:8" x14ac:dyDescent="0.25">
      <c r="A126">
        <v>3960</v>
      </c>
      <c r="B126" s="11" t="s">
        <v>239</v>
      </c>
      <c r="C126" t="s">
        <v>67</v>
      </c>
      <c r="H126" s="11"/>
    </row>
    <row r="127" spans="1:8" x14ac:dyDescent="0.25">
      <c r="A127">
        <v>3962</v>
      </c>
      <c r="B127" s="11" t="s">
        <v>240</v>
      </c>
      <c r="C127" t="s">
        <v>67</v>
      </c>
      <c r="H127" s="11"/>
    </row>
    <row r="128" spans="1:8" x14ac:dyDescent="0.25">
      <c r="A128">
        <v>3964</v>
      </c>
      <c r="B128" s="11" t="s">
        <v>241</v>
      </c>
      <c r="C128" t="s">
        <v>67</v>
      </c>
      <c r="H128" s="11"/>
    </row>
    <row r="129" spans="1:8" x14ac:dyDescent="0.25">
      <c r="A129">
        <v>3966</v>
      </c>
      <c r="B129" s="11" t="s">
        <v>242</v>
      </c>
      <c r="C129" t="s">
        <v>67</v>
      </c>
      <c r="H129" s="12"/>
    </row>
    <row r="130" spans="1:8" x14ac:dyDescent="0.25">
      <c r="A130">
        <v>3968</v>
      </c>
      <c r="B130" s="11" t="s">
        <v>243</v>
      </c>
      <c r="C130" t="s">
        <v>67</v>
      </c>
      <c r="H130" s="11"/>
    </row>
    <row r="131" spans="1:8" x14ac:dyDescent="0.25">
      <c r="A131">
        <v>3970</v>
      </c>
      <c r="B131" s="11" t="s">
        <v>244</v>
      </c>
      <c r="C131" t="s">
        <v>67</v>
      </c>
      <c r="H131" s="12"/>
    </row>
    <row r="132" spans="1:8" x14ac:dyDescent="0.25">
      <c r="A132">
        <v>3972</v>
      </c>
      <c r="B132" s="11" t="s">
        <v>245</v>
      </c>
      <c r="C132" t="s">
        <v>67</v>
      </c>
      <c r="H132" s="11"/>
    </row>
    <row r="133" spans="1:8" x14ac:dyDescent="0.25">
      <c r="A133">
        <v>3974</v>
      </c>
      <c r="B133" s="11" t="s">
        <v>246</v>
      </c>
      <c r="C133" t="s">
        <v>67</v>
      </c>
      <c r="H133" s="11"/>
    </row>
    <row r="134" spans="1:8" x14ac:dyDescent="0.25">
      <c r="A134">
        <v>3976</v>
      </c>
      <c r="B134" s="11" t="s">
        <v>247</v>
      </c>
      <c r="C134" t="s">
        <v>67</v>
      </c>
      <c r="H134" s="11"/>
    </row>
    <row r="135" spans="1:8" x14ac:dyDescent="0.25">
      <c r="A135">
        <v>3978</v>
      </c>
      <c r="B135" s="11" t="s">
        <v>248</v>
      </c>
      <c r="C135" t="s">
        <v>67</v>
      </c>
      <c r="H135" s="11"/>
    </row>
    <row r="136" spans="1:8" x14ac:dyDescent="0.25">
      <c r="A136">
        <v>3980</v>
      </c>
      <c r="B136" s="11" t="s">
        <v>249</v>
      </c>
      <c r="C136" t="s">
        <v>67</v>
      </c>
      <c r="H136" s="11"/>
    </row>
    <row r="137" spans="1:8" x14ac:dyDescent="0.25">
      <c r="A137">
        <v>3982</v>
      </c>
      <c r="B137" s="11" t="s">
        <v>250</v>
      </c>
      <c r="C137" t="s">
        <v>67</v>
      </c>
      <c r="H137" s="11"/>
    </row>
    <row r="138" spans="1:8" x14ac:dyDescent="0.25">
      <c r="A138">
        <v>3984</v>
      </c>
      <c r="B138" s="11" t="s">
        <v>251</v>
      </c>
      <c r="C138" t="s">
        <v>67</v>
      </c>
      <c r="H138" s="11"/>
    </row>
    <row r="139" spans="1:8" x14ac:dyDescent="0.25">
      <c r="A139">
        <v>3986</v>
      </c>
      <c r="B139" s="11" t="s">
        <v>252</v>
      </c>
      <c r="C139" t="s">
        <v>67</v>
      </c>
      <c r="H139" s="11"/>
    </row>
    <row r="140" spans="1:8" x14ac:dyDescent="0.25">
      <c r="A140">
        <v>3988</v>
      </c>
      <c r="B140" s="11" t="s">
        <v>253</v>
      </c>
      <c r="C140" t="s">
        <v>67</v>
      </c>
      <c r="H140" s="11"/>
    </row>
    <row r="141" spans="1:8" x14ac:dyDescent="0.25">
      <c r="A141">
        <v>3990</v>
      </c>
      <c r="B141" s="11" t="s">
        <v>254</v>
      </c>
      <c r="C141" t="s">
        <v>67</v>
      </c>
      <c r="H141" s="11"/>
    </row>
    <row r="142" spans="1:8" x14ac:dyDescent="0.25">
      <c r="A142">
        <v>5000</v>
      </c>
      <c r="B142" s="11" t="s">
        <v>255</v>
      </c>
      <c r="C142" t="s">
        <v>68</v>
      </c>
      <c r="H142" s="11"/>
    </row>
    <row r="143" spans="1:8" x14ac:dyDescent="0.25">
      <c r="A143">
        <v>5005</v>
      </c>
      <c r="B143" s="11" t="s">
        <v>256</v>
      </c>
      <c r="C143" t="s">
        <v>68</v>
      </c>
      <c r="H143" s="11"/>
    </row>
    <row r="144" spans="1:8" x14ac:dyDescent="0.25">
      <c r="A144">
        <v>5008</v>
      </c>
      <c r="B144" s="11" t="s">
        <v>257</v>
      </c>
      <c r="C144" t="s">
        <v>68</v>
      </c>
      <c r="H144" s="11"/>
    </row>
    <row r="145" spans="1:8" x14ac:dyDescent="0.25">
      <c r="A145">
        <v>5009</v>
      </c>
      <c r="B145" s="12" t="s">
        <v>118</v>
      </c>
      <c r="C145" t="s">
        <v>68</v>
      </c>
      <c r="H145" s="11"/>
    </row>
    <row r="146" spans="1:8" x14ac:dyDescent="0.25">
      <c r="A146">
        <v>5016</v>
      </c>
      <c r="B146" s="11" t="s">
        <v>258</v>
      </c>
      <c r="C146" t="s">
        <v>68</v>
      </c>
      <c r="H146" s="11"/>
    </row>
    <row r="147" spans="1:8" x14ac:dyDescent="0.25">
      <c r="A147">
        <v>5100</v>
      </c>
      <c r="B147" s="12" t="s">
        <v>119</v>
      </c>
      <c r="C147" t="s">
        <v>68</v>
      </c>
      <c r="H147" s="11"/>
    </row>
    <row r="148" spans="1:8" x14ac:dyDescent="0.25">
      <c r="A148">
        <v>5121</v>
      </c>
      <c r="B148" s="11" t="s">
        <v>259</v>
      </c>
      <c r="C148" t="s">
        <v>68</v>
      </c>
      <c r="H148" s="11"/>
    </row>
    <row r="149" spans="1:8" x14ac:dyDescent="0.25">
      <c r="A149">
        <v>5160</v>
      </c>
      <c r="B149" s="11" t="s">
        <v>260</v>
      </c>
      <c r="C149" t="s">
        <v>68</v>
      </c>
      <c r="H149" s="11"/>
    </row>
    <row r="150" spans="1:8" x14ac:dyDescent="0.25">
      <c r="A150">
        <v>5161</v>
      </c>
      <c r="B150" s="11" t="s">
        <v>261</v>
      </c>
      <c r="C150" t="s">
        <v>68</v>
      </c>
      <c r="H150" s="13"/>
    </row>
    <row r="151" spans="1:8" x14ac:dyDescent="0.25">
      <c r="A151">
        <v>5220</v>
      </c>
      <c r="B151" s="11" t="s">
        <v>190</v>
      </c>
      <c r="C151" t="s">
        <v>68</v>
      </c>
      <c r="H151" s="11"/>
    </row>
    <row r="152" spans="1:8" x14ac:dyDescent="0.25">
      <c r="A152">
        <v>5310</v>
      </c>
      <c r="B152" s="11" t="s">
        <v>262</v>
      </c>
      <c r="C152" t="s">
        <v>68</v>
      </c>
      <c r="H152" s="11"/>
    </row>
    <row r="153" spans="1:8" x14ac:dyDescent="0.25">
      <c r="A153">
        <v>5400</v>
      </c>
      <c r="B153" s="11" t="s">
        <v>263</v>
      </c>
      <c r="C153" t="s">
        <v>68</v>
      </c>
      <c r="H153" s="11"/>
    </row>
    <row r="154" spans="1:8" x14ac:dyDescent="0.25">
      <c r="A154">
        <v>5410</v>
      </c>
      <c r="B154" s="57" t="s">
        <v>497</v>
      </c>
      <c r="C154" t="s">
        <v>68</v>
      </c>
      <c r="H154" s="11"/>
    </row>
    <row r="155" spans="1:8" x14ac:dyDescent="0.25">
      <c r="A155">
        <v>5412</v>
      </c>
      <c r="B155" s="11" t="s">
        <v>264</v>
      </c>
      <c r="C155" t="s">
        <v>68</v>
      </c>
      <c r="H155" s="11"/>
    </row>
    <row r="156" spans="1:8" x14ac:dyDescent="0.25">
      <c r="A156">
        <v>5500</v>
      </c>
      <c r="B156" s="12" t="s">
        <v>120</v>
      </c>
      <c r="C156" t="s">
        <v>68</v>
      </c>
      <c r="H156" s="11"/>
    </row>
    <row r="157" spans="1:8" x14ac:dyDescent="0.25">
      <c r="A157">
        <v>5607</v>
      </c>
      <c r="B157" s="11" t="s">
        <v>265</v>
      </c>
      <c r="C157" t="s">
        <v>68</v>
      </c>
      <c r="H157" s="13"/>
    </row>
    <row r="158" spans="1:8" x14ac:dyDescent="0.25">
      <c r="A158">
        <v>5608</v>
      </c>
      <c r="B158" s="11" t="s">
        <v>266</v>
      </c>
      <c r="C158" t="s">
        <v>68</v>
      </c>
      <c r="H158" s="11"/>
    </row>
    <row r="159" spans="1:8" x14ac:dyDescent="0.25">
      <c r="A159">
        <v>5609</v>
      </c>
      <c r="B159" s="11" t="s">
        <v>267</v>
      </c>
      <c r="C159" t="s">
        <v>68</v>
      </c>
      <c r="H159" s="11"/>
    </row>
    <row r="160" spans="1:8" x14ac:dyDescent="0.25">
      <c r="A160">
        <v>5700</v>
      </c>
      <c r="B160" s="11" t="s">
        <v>268</v>
      </c>
      <c r="C160" t="s">
        <v>68</v>
      </c>
      <c r="H160" s="11"/>
    </row>
    <row r="161" spans="1:8" x14ac:dyDescent="0.25">
      <c r="A161">
        <v>5701</v>
      </c>
      <c r="B161" s="11" t="s">
        <v>269</v>
      </c>
      <c r="C161" t="s">
        <v>68</v>
      </c>
      <c r="H161" s="11"/>
    </row>
    <row r="162" spans="1:8" x14ac:dyDescent="0.25">
      <c r="A162">
        <v>5730</v>
      </c>
      <c r="B162" s="42" t="s">
        <v>121</v>
      </c>
      <c r="C162" t="s">
        <v>68</v>
      </c>
      <c r="H162" s="11"/>
    </row>
    <row r="163" spans="1:8" x14ac:dyDescent="0.25">
      <c r="A163">
        <v>5740</v>
      </c>
      <c r="B163" s="57" t="s">
        <v>365</v>
      </c>
      <c r="C163" t="s">
        <v>68</v>
      </c>
      <c r="H163" s="11"/>
    </row>
    <row r="164" spans="1:8" x14ac:dyDescent="0.25">
      <c r="A164">
        <v>6000</v>
      </c>
      <c r="B164" s="11" t="s">
        <v>270</v>
      </c>
      <c r="C164" s="38" t="s">
        <v>479</v>
      </c>
      <c r="H164" s="11"/>
    </row>
    <row r="165" spans="1:8" x14ac:dyDescent="0.25">
      <c r="A165">
        <v>6100</v>
      </c>
      <c r="B165" s="11" t="s">
        <v>271</v>
      </c>
      <c r="C165" t="s">
        <v>65</v>
      </c>
      <c r="H165" s="11"/>
    </row>
    <row r="166" spans="1:8" x14ac:dyDescent="0.25">
      <c r="A166">
        <v>6150</v>
      </c>
      <c r="B166" s="11" t="s">
        <v>272</v>
      </c>
      <c r="C166" t="s">
        <v>65</v>
      </c>
    </row>
    <row r="167" spans="1:8" x14ac:dyDescent="0.25">
      <c r="A167">
        <v>7000</v>
      </c>
      <c r="B167" s="11" t="s">
        <v>10</v>
      </c>
    </row>
    <row r="168" spans="1:8" x14ac:dyDescent="0.25">
      <c r="A168">
        <v>7001</v>
      </c>
      <c r="B168" s="12" t="s">
        <v>11</v>
      </c>
    </row>
    <row r="169" spans="1:8" x14ac:dyDescent="0.25">
      <c r="A169">
        <v>7002</v>
      </c>
      <c r="B169" s="12" t="s">
        <v>12</v>
      </c>
    </row>
    <row r="170" spans="1:8" x14ac:dyDescent="0.25">
      <c r="A170">
        <v>7006</v>
      </c>
      <c r="B170" s="11" t="s">
        <v>13</v>
      </c>
    </row>
    <row r="171" spans="1:8" x14ac:dyDescent="0.25">
      <c r="A171">
        <v>7008</v>
      </c>
      <c r="B171" s="11" t="s">
        <v>14</v>
      </c>
    </row>
    <row r="172" spans="1:8" x14ac:dyDescent="0.25">
      <c r="A172">
        <v>7050</v>
      </c>
      <c r="B172" s="12" t="s">
        <v>15</v>
      </c>
    </row>
    <row r="173" spans="1:8" x14ac:dyDescent="0.25">
      <c r="A173">
        <v>7055</v>
      </c>
      <c r="B173" s="12" t="s">
        <v>16</v>
      </c>
    </row>
    <row r="174" spans="1:8" x14ac:dyDescent="0.25">
      <c r="A174">
        <v>7101</v>
      </c>
      <c r="B174" s="11" t="s">
        <v>17</v>
      </c>
    </row>
    <row r="175" spans="1:8" x14ac:dyDescent="0.25">
      <c r="A175">
        <v>7103</v>
      </c>
      <c r="B175" s="11" t="s">
        <v>18</v>
      </c>
    </row>
    <row r="176" spans="1:8" x14ac:dyDescent="0.25">
      <c r="A176">
        <v>7300</v>
      </c>
      <c r="B176" s="11" t="s">
        <v>19</v>
      </c>
    </row>
    <row r="177" spans="1:2" x14ac:dyDescent="0.25">
      <c r="A177">
        <v>7400</v>
      </c>
      <c r="B177" s="11" t="s">
        <v>20</v>
      </c>
    </row>
    <row r="178" spans="1:2" x14ac:dyDescent="0.25">
      <c r="A178">
        <v>7401</v>
      </c>
      <c r="B178" s="11" t="s">
        <v>21</v>
      </c>
    </row>
    <row r="179" spans="1:2" x14ac:dyDescent="0.25">
      <c r="A179">
        <v>7460</v>
      </c>
      <c r="B179" s="11" t="s">
        <v>22</v>
      </c>
    </row>
    <row r="180" spans="1:2" x14ac:dyDescent="0.25">
      <c r="A180">
        <v>7500</v>
      </c>
      <c r="B180" s="11" t="s">
        <v>23</v>
      </c>
    </row>
    <row r="181" spans="1:2" x14ac:dyDescent="0.25">
      <c r="A181">
        <v>7504</v>
      </c>
      <c r="B181" s="11" t="s">
        <v>24</v>
      </c>
    </row>
    <row r="182" spans="1:2" x14ac:dyDescent="0.25">
      <c r="A182">
        <v>7508</v>
      </c>
      <c r="B182" s="11" t="s">
        <v>25</v>
      </c>
    </row>
    <row r="183" spans="1:2" x14ac:dyDescent="0.25">
      <c r="A183">
        <v>7510</v>
      </c>
      <c r="B183" s="11" t="s">
        <v>26</v>
      </c>
    </row>
    <row r="184" spans="1:2" x14ac:dyDescent="0.25">
      <c r="A184">
        <v>7512</v>
      </c>
      <c r="B184" s="11" t="s">
        <v>27</v>
      </c>
    </row>
    <row r="185" spans="1:2" x14ac:dyDescent="0.25">
      <c r="A185">
        <v>7514</v>
      </c>
      <c r="B185" s="11" t="s">
        <v>28</v>
      </c>
    </row>
    <row r="186" spans="1:2" x14ac:dyDescent="0.25">
      <c r="A186">
        <v>7516</v>
      </c>
      <c r="B186" s="11" t="s">
        <v>29</v>
      </c>
    </row>
    <row r="187" spans="1:2" x14ac:dyDescent="0.25">
      <c r="A187">
        <v>7518</v>
      </c>
      <c r="B187" s="11" t="s">
        <v>30</v>
      </c>
    </row>
    <row r="188" spans="1:2" x14ac:dyDescent="0.25">
      <c r="A188">
        <v>7522</v>
      </c>
      <c r="B188" s="11" t="s">
        <v>137</v>
      </c>
    </row>
    <row r="189" spans="1:2" x14ac:dyDescent="0.25">
      <c r="A189">
        <v>7524</v>
      </c>
      <c r="B189" s="13" t="s">
        <v>138</v>
      </c>
    </row>
    <row r="190" spans="1:2" x14ac:dyDescent="0.25">
      <c r="A190">
        <v>7526</v>
      </c>
      <c r="B190" s="11" t="s">
        <v>31</v>
      </c>
    </row>
    <row r="191" spans="1:2" x14ac:dyDescent="0.25">
      <c r="A191">
        <v>7530</v>
      </c>
      <c r="B191" s="12" t="s">
        <v>122</v>
      </c>
    </row>
    <row r="192" spans="1:2" x14ac:dyDescent="0.25">
      <c r="A192">
        <v>7531</v>
      </c>
      <c r="B192" s="12" t="s">
        <v>123</v>
      </c>
    </row>
    <row r="193" spans="1:2" x14ac:dyDescent="0.25">
      <c r="A193">
        <v>7600</v>
      </c>
      <c r="B193" s="11" t="s">
        <v>32</v>
      </c>
    </row>
    <row r="194" spans="1:2" x14ac:dyDescent="0.25">
      <c r="A194">
        <v>7602</v>
      </c>
      <c r="B194" s="12" t="s">
        <v>124</v>
      </c>
    </row>
    <row r="195" spans="1:2" x14ac:dyDescent="0.25">
      <c r="A195">
        <v>7605</v>
      </c>
      <c r="B195" s="11" t="s">
        <v>38</v>
      </c>
    </row>
    <row r="196" spans="1:2" x14ac:dyDescent="0.25">
      <c r="A196">
        <v>7610</v>
      </c>
      <c r="B196" s="11" t="s">
        <v>39</v>
      </c>
    </row>
    <row r="197" spans="1:2" x14ac:dyDescent="0.25">
      <c r="A197">
        <v>7615</v>
      </c>
      <c r="B197" s="11" t="s">
        <v>40</v>
      </c>
    </row>
    <row r="198" spans="1:2" x14ac:dyDescent="0.25">
      <c r="A198">
        <v>7620</v>
      </c>
      <c r="B198" s="11" t="s">
        <v>41</v>
      </c>
    </row>
    <row r="199" spans="1:2" x14ac:dyDescent="0.25">
      <c r="A199">
        <v>7625</v>
      </c>
      <c r="B199" s="11" t="s">
        <v>42</v>
      </c>
    </row>
    <row r="200" spans="1:2" x14ac:dyDescent="0.25">
      <c r="A200">
        <v>7630</v>
      </c>
      <c r="B200" s="11" t="s">
        <v>43</v>
      </c>
    </row>
    <row r="201" spans="1:2" x14ac:dyDescent="0.25">
      <c r="A201">
        <v>7635</v>
      </c>
      <c r="B201" s="11" t="s">
        <v>44</v>
      </c>
    </row>
    <row r="202" spans="1:2" x14ac:dyDescent="0.25">
      <c r="A202">
        <v>7640</v>
      </c>
      <c r="B202" s="11" t="s">
        <v>45</v>
      </c>
    </row>
    <row r="203" spans="1:2" x14ac:dyDescent="0.25">
      <c r="A203">
        <v>7642</v>
      </c>
      <c r="B203" s="12" t="s">
        <v>125</v>
      </c>
    </row>
    <row r="204" spans="1:2" x14ac:dyDescent="0.25">
      <c r="A204">
        <v>7645</v>
      </c>
      <c r="B204" s="11" t="s">
        <v>46</v>
      </c>
    </row>
    <row r="205" spans="1:2" x14ac:dyDescent="0.25">
      <c r="A205">
        <v>7650</v>
      </c>
      <c r="B205" s="11" t="s">
        <v>47</v>
      </c>
    </row>
    <row r="206" spans="1:2" x14ac:dyDescent="0.25">
      <c r="A206">
        <v>7655</v>
      </c>
      <c r="B206" s="11" t="s">
        <v>126</v>
      </c>
    </row>
    <row r="207" spans="1:2" x14ac:dyDescent="0.25">
      <c r="A207">
        <v>7998</v>
      </c>
      <c r="B207" s="11" t="s">
        <v>48</v>
      </c>
    </row>
    <row r="208" spans="1:2" x14ac:dyDescent="0.25">
      <c r="A208">
        <v>8540</v>
      </c>
      <c r="B208" s="14" t="s">
        <v>49</v>
      </c>
    </row>
    <row r="209" spans="1:2" x14ac:dyDescent="0.25">
      <c r="A209">
        <v>8560</v>
      </c>
      <c r="B209" s="11" t="s">
        <v>50</v>
      </c>
    </row>
    <row r="210" spans="1:2" x14ac:dyDescent="0.25">
      <c r="A210">
        <v>8600</v>
      </c>
      <c r="B210" s="11" t="s">
        <v>51</v>
      </c>
    </row>
    <row r="211" spans="1:2" x14ac:dyDescent="0.25">
      <c r="A211">
        <v>8610</v>
      </c>
      <c r="B211" s="11" t="s">
        <v>52</v>
      </c>
    </row>
    <row r="212" spans="1:2" x14ac:dyDescent="0.25">
      <c r="A212">
        <v>8620</v>
      </c>
      <c r="B212" s="11" t="s">
        <v>53</v>
      </c>
    </row>
    <row r="213" spans="1:2" x14ac:dyDescent="0.25">
      <c r="A213">
        <v>9890</v>
      </c>
      <c r="B213" s="11" t="s">
        <v>54</v>
      </c>
    </row>
    <row r="214" spans="1:2" x14ac:dyDescent="0.25">
      <c r="A214">
        <v>9891</v>
      </c>
      <c r="B214" s="11" t="s">
        <v>55</v>
      </c>
    </row>
  </sheetData>
  <sheetProtection sheet="1" objects="1" scenarios="1"/>
  <sortState ref="A2:C211">
    <sortCondition ref="A2:A211"/>
  </sortState>
  <phoneticPr fontId="13" type="noConversion"/>
  <printOptions gridLines="1"/>
  <pageMargins left="0.74803149606299213" right="0.74803149606299213" top="0.39370078740157483" bottom="0.39370078740157483"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C00000"/>
  </sheetPr>
  <dimension ref="A1:D67"/>
  <sheetViews>
    <sheetView zoomScaleNormal="100" workbookViewId="0">
      <selection activeCell="Q36" sqref="Q36"/>
    </sheetView>
  </sheetViews>
  <sheetFormatPr defaultColWidth="8.85546875" defaultRowHeight="15" x14ac:dyDescent="0.25"/>
  <cols>
    <col min="1" max="1" width="14" bestFit="1" customWidth="1"/>
    <col min="2" max="2" width="42.7109375" customWidth="1"/>
    <col min="3" max="3" width="5.7109375" customWidth="1"/>
    <col min="4" max="4" width="41.42578125" customWidth="1"/>
  </cols>
  <sheetData>
    <row r="1" spans="1:4" s="1" customFormat="1" ht="14.25" x14ac:dyDescent="0.2">
      <c r="A1" s="264" t="s">
        <v>78</v>
      </c>
      <c r="B1" s="264" t="s">
        <v>110</v>
      </c>
    </row>
    <row r="2" spans="1:4" x14ac:dyDescent="0.25">
      <c r="A2" s="265" t="s">
        <v>90</v>
      </c>
      <c r="B2" s="266" t="s">
        <v>96</v>
      </c>
    </row>
    <row r="3" spans="1:4" x14ac:dyDescent="0.25">
      <c r="A3" s="267" t="s">
        <v>290</v>
      </c>
      <c r="B3" s="266" t="s">
        <v>96</v>
      </c>
    </row>
    <row r="4" spans="1:4" x14ac:dyDescent="0.25">
      <c r="A4" s="267" t="s">
        <v>385</v>
      </c>
      <c r="B4" s="266" t="s">
        <v>96</v>
      </c>
    </row>
    <row r="5" spans="1:4" x14ac:dyDescent="0.25">
      <c r="A5" s="267" t="s">
        <v>288</v>
      </c>
      <c r="B5" s="266" t="s">
        <v>96</v>
      </c>
    </row>
    <row r="6" spans="1:4" x14ac:dyDescent="0.25">
      <c r="A6" s="267" t="s">
        <v>339</v>
      </c>
      <c r="B6" s="266" t="s">
        <v>96</v>
      </c>
    </row>
    <row r="7" spans="1:4" x14ac:dyDescent="0.25">
      <c r="A7" s="268" t="s">
        <v>289</v>
      </c>
      <c r="B7" s="269" t="s">
        <v>494</v>
      </c>
    </row>
    <row r="8" spans="1:4" x14ac:dyDescent="0.25">
      <c r="A8" s="268" t="s">
        <v>87</v>
      </c>
      <c r="B8" s="269" t="s">
        <v>493</v>
      </c>
    </row>
    <row r="9" spans="1:4" x14ac:dyDescent="0.25">
      <c r="A9" s="268" t="s">
        <v>94</v>
      </c>
      <c r="B9" s="269" t="s">
        <v>293</v>
      </c>
    </row>
    <row r="10" spans="1:4" x14ac:dyDescent="0.25">
      <c r="A10" s="268" t="s">
        <v>92</v>
      </c>
      <c r="B10" s="269" t="s">
        <v>294</v>
      </c>
    </row>
    <row r="11" spans="1:4" x14ac:dyDescent="0.25">
      <c r="A11" s="268" t="s">
        <v>91</v>
      </c>
      <c r="B11" s="269" t="s">
        <v>294</v>
      </c>
    </row>
    <row r="12" spans="1:4" x14ac:dyDescent="0.25">
      <c r="A12" s="270" t="s">
        <v>340</v>
      </c>
      <c r="B12" s="266" t="s">
        <v>96</v>
      </c>
    </row>
    <row r="13" spans="1:4" x14ac:dyDescent="0.25">
      <c r="A13" s="270" t="s">
        <v>374</v>
      </c>
      <c r="B13" s="269" t="s">
        <v>486</v>
      </c>
      <c r="D13" s="271" t="s">
        <v>386</v>
      </c>
    </row>
    <row r="14" spans="1:4" x14ac:dyDescent="0.25">
      <c r="A14" s="270" t="s">
        <v>375</v>
      </c>
      <c r="B14" s="269" t="s">
        <v>510</v>
      </c>
      <c r="D14" s="271" t="s">
        <v>386</v>
      </c>
    </row>
    <row r="15" spans="1:4" x14ac:dyDescent="0.25">
      <c r="A15" s="270" t="s">
        <v>376</v>
      </c>
      <c r="B15" s="269" t="s">
        <v>483</v>
      </c>
      <c r="D15" s="271" t="s">
        <v>386</v>
      </c>
    </row>
    <row r="16" spans="1:4" x14ac:dyDescent="0.25">
      <c r="A16" s="270" t="s">
        <v>377</v>
      </c>
      <c r="B16" s="269" t="s">
        <v>482</v>
      </c>
      <c r="D16" s="271" t="s">
        <v>386</v>
      </c>
    </row>
    <row r="17" spans="1:4" x14ac:dyDescent="0.25">
      <c r="A17" s="270" t="s">
        <v>378</v>
      </c>
      <c r="B17" s="269" t="s">
        <v>484</v>
      </c>
      <c r="D17" s="271" t="s">
        <v>386</v>
      </c>
    </row>
    <row r="18" spans="1:4" x14ac:dyDescent="0.25">
      <c r="A18" s="270" t="s">
        <v>380</v>
      </c>
      <c r="B18" s="269" t="s">
        <v>485</v>
      </c>
      <c r="C18" s="18"/>
      <c r="D18" s="271" t="s">
        <v>386</v>
      </c>
    </row>
    <row r="19" spans="1:4" x14ac:dyDescent="0.25">
      <c r="A19" s="270" t="s">
        <v>403</v>
      </c>
      <c r="B19" s="269" t="s">
        <v>489</v>
      </c>
      <c r="C19" s="18"/>
      <c r="D19" s="223" t="s">
        <v>405</v>
      </c>
    </row>
    <row r="20" spans="1:4" x14ac:dyDescent="0.25">
      <c r="A20" s="270" t="s">
        <v>404</v>
      </c>
      <c r="B20" s="269" t="s">
        <v>490</v>
      </c>
      <c r="C20" s="18"/>
      <c r="D20" s="223" t="s">
        <v>406</v>
      </c>
    </row>
    <row r="21" spans="1:4" x14ac:dyDescent="0.25">
      <c r="A21" s="279" t="s">
        <v>506</v>
      </c>
      <c r="B21" s="280" t="s">
        <v>507</v>
      </c>
      <c r="C21" s="18"/>
      <c r="D21" s="223"/>
    </row>
    <row r="22" spans="1:4" x14ac:dyDescent="0.25">
      <c r="A22" s="265" t="s">
        <v>74</v>
      </c>
      <c r="B22" s="269" t="s">
        <v>515</v>
      </c>
      <c r="C22" s="18"/>
    </row>
    <row r="23" spans="1:4" x14ac:dyDescent="0.25">
      <c r="A23" s="268" t="s">
        <v>89</v>
      </c>
      <c r="B23" s="269" t="s">
        <v>493</v>
      </c>
      <c r="C23" s="18"/>
    </row>
    <row r="24" spans="1:4" x14ac:dyDescent="0.25">
      <c r="A24" s="265" t="s">
        <v>93</v>
      </c>
      <c r="B24" s="269" t="s">
        <v>491</v>
      </c>
      <c r="C24" s="18"/>
    </row>
    <row r="25" spans="1:4" x14ac:dyDescent="0.25">
      <c r="A25" s="265" t="s">
        <v>88</v>
      </c>
      <c r="B25" s="269" t="s">
        <v>492</v>
      </c>
      <c r="C25" s="18"/>
    </row>
    <row r="26" spans="1:4" x14ac:dyDescent="0.25">
      <c r="A26" s="268" t="s">
        <v>75</v>
      </c>
      <c r="B26" s="269" t="s">
        <v>294</v>
      </c>
      <c r="C26" s="18"/>
    </row>
    <row r="27" spans="1:4" x14ac:dyDescent="0.25">
      <c r="A27" s="270" t="s">
        <v>402</v>
      </c>
      <c r="B27" s="269" t="s">
        <v>488</v>
      </c>
      <c r="C27" s="18"/>
      <c r="D27" s="38" t="s">
        <v>487</v>
      </c>
    </row>
    <row r="28" spans="1:4" x14ac:dyDescent="0.25">
      <c r="A28" s="270" t="s">
        <v>370</v>
      </c>
      <c r="B28" s="266" t="s">
        <v>96</v>
      </c>
      <c r="C28" s="18"/>
    </row>
    <row r="29" spans="1:4" x14ac:dyDescent="0.25">
      <c r="A29" s="270" t="s">
        <v>387</v>
      </c>
      <c r="B29" s="266" t="s">
        <v>96</v>
      </c>
      <c r="C29" s="18"/>
    </row>
    <row r="30" spans="1:4" x14ac:dyDescent="0.25">
      <c r="A30" s="265" t="s">
        <v>295</v>
      </c>
      <c r="B30" s="266" t="s">
        <v>96</v>
      </c>
      <c r="C30" s="18"/>
    </row>
    <row r="31" spans="1:4" x14ac:dyDescent="0.25">
      <c r="A31" s="267" t="s">
        <v>287</v>
      </c>
      <c r="B31" s="266" t="s">
        <v>287</v>
      </c>
      <c r="C31" s="18"/>
    </row>
    <row r="32" spans="1:4" x14ac:dyDescent="0.25">
      <c r="A32" s="265" t="s">
        <v>297</v>
      </c>
      <c r="B32" s="266" t="s">
        <v>96</v>
      </c>
      <c r="C32" s="18"/>
    </row>
    <row r="33" spans="1:3" x14ac:dyDescent="0.25">
      <c r="A33" s="265" t="s">
        <v>296</v>
      </c>
      <c r="B33" s="266" t="s">
        <v>96</v>
      </c>
      <c r="C33" s="18"/>
    </row>
    <row r="34" spans="1:3" x14ac:dyDescent="0.25">
      <c r="A34" s="265" t="s">
        <v>388</v>
      </c>
      <c r="B34" s="266" t="s">
        <v>96</v>
      </c>
      <c r="C34" s="18"/>
    </row>
    <row r="35" spans="1:3" x14ac:dyDescent="0.25">
      <c r="A35" s="18"/>
      <c r="B35" s="18"/>
      <c r="C35" s="18"/>
    </row>
    <row r="36" spans="1:3" x14ac:dyDescent="0.25">
      <c r="A36" s="18"/>
      <c r="B36" s="18"/>
      <c r="C36" s="18"/>
    </row>
    <row r="37" spans="1:3" x14ac:dyDescent="0.25">
      <c r="A37" s="18"/>
      <c r="B37" s="18"/>
      <c r="C37" s="18"/>
    </row>
    <row r="38" spans="1:3" x14ac:dyDescent="0.25">
      <c r="A38" s="18"/>
      <c r="B38" s="18"/>
      <c r="C38" s="18"/>
    </row>
    <row r="39" spans="1:3" x14ac:dyDescent="0.25">
      <c r="A39" s="18"/>
      <c r="B39" s="18"/>
      <c r="C39" s="18"/>
    </row>
    <row r="40" spans="1:3" x14ac:dyDescent="0.25">
      <c r="A40" s="18"/>
      <c r="B40" s="18"/>
      <c r="C40" s="18"/>
    </row>
    <row r="41" spans="1:3" x14ac:dyDescent="0.25">
      <c r="A41" s="18"/>
      <c r="B41" s="18"/>
      <c r="C41" s="18"/>
    </row>
    <row r="42" spans="1:3" x14ac:dyDescent="0.25">
      <c r="A42" s="18"/>
      <c r="B42" s="18"/>
      <c r="C42" s="18"/>
    </row>
    <row r="43" spans="1:3" x14ac:dyDescent="0.25">
      <c r="A43" s="18"/>
      <c r="B43" s="18"/>
      <c r="C43" s="18"/>
    </row>
    <row r="44" spans="1:3" x14ac:dyDescent="0.25">
      <c r="A44" s="18"/>
      <c r="B44" s="18"/>
      <c r="C44" s="18"/>
    </row>
    <row r="45" spans="1:3" x14ac:dyDescent="0.25">
      <c r="A45" s="18"/>
      <c r="B45" s="18"/>
      <c r="C45" s="18"/>
    </row>
    <row r="46" spans="1:3" x14ac:dyDescent="0.25">
      <c r="A46" s="18"/>
      <c r="B46" s="18"/>
      <c r="C46" s="18"/>
    </row>
    <row r="47" spans="1:3" x14ac:dyDescent="0.25">
      <c r="A47" s="18"/>
      <c r="B47" s="18"/>
      <c r="C47" s="18"/>
    </row>
    <row r="48" spans="1:3" x14ac:dyDescent="0.25">
      <c r="A48" s="18"/>
      <c r="B48" s="18"/>
      <c r="C48" s="18"/>
    </row>
    <row r="49" spans="1:3" x14ac:dyDescent="0.25">
      <c r="A49" s="18"/>
      <c r="B49" s="18"/>
      <c r="C49" s="18"/>
    </row>
    <row r="50" spans="1:3" x14ac:dyDescent="0.25">
      <c r="A50" s="18"/>
      <c r="B50" s="18"/>
      <c r="C50" s="18"/>
    </row>
    <row r="51" spans="1:3" x14ac:dyDescent="0.25">
      <c r="A51" s="18"/>
      <c r="B51" s="18"/>
      <c r="C51" s="18"/>
    </row>
    <row r="52" spans="1:3" x14ac:dyDescent="0.25">
      <c r="A52" s="18"/>
      <c r="B52" s="18"/>
      <c r="C52" s="18"/>
    </row>
    <row r="53" spans="1:3" x14ac:dyDescent="0.25">
      <c r="A53" s="18"/>
      <c r="B53" s="18"/>
      <c r="C53" s="18"/>
    </row>
    <row r="54" spans="1:3" x14ac:dyDescent="0.25">
      <c r="A54" s="18"/>
      <c r="B54" s="18"/>
      <c r="C54" s="18"/>
    </row>
    <row r="55" spans="1:3" x14ac:dyDescent="0.25">
      <c r="A55" s="18"/>
      <c r="B55" s="18"/>
      <c r="C55" s="18"/>
    </row>
    <row r="56" spans="1:3" x14ac:dyDescent="0.25">
      <c r="A56" s="18"/>
      <c r="B56" s="18"/>
      <c r="C56" s="18"/>
    </row>
    <row r="57" spans="1:3" x14ac:dyDescent="0.25">
      <c r="A57" s="18"/>
      <c r="B57" s="18"/>
    </row>
    <row r="58" spans="1:3" x14ac:dyDescent="0.25">
      <c r="A58" s="18"/>
      <c r="B58" s="18"/>
    </row>
    <row r="59" spans="1:3" x14ac:dyDescent="0.25">
      <c r="A59" s="18"/>
      <c r="B59" s="18"/>
    </row>
    <row r="60" spans="1:3" x14ac:dyDescent="0.25">
      <c r="A60" s="18"/>
      <c r="B60" s="18"/>
    </row>
    <row r="61" spans="1:3" x14ac:dyDescent="0.25">
      <c r="A61" s="18"/>
      <c r="B61" s="18"/>
    </row>
    <row r="62" spans="1:3" x14ac:dyDescent="0.25">
      <c r="A62" s="18"/>
      <c r="B62" s="18"/>
    </row>
    <row r="63" spans="1:3" x14ac:dyDescent="0.25">
      <c r="A63" s="18"/>
      <c r="B63" s="18"/>
    </row>
    <row r="64" spans="1:3" x14ac:dyDescent="0.25">
      <c r="A64" s="18"/>
      <c r="B64" s="18"/>
    </row>
    <row r="65" spans="1:2" x14ac:dyDescent="0.25">
      <c r="A65" s="18"/>
      <c r="B65" s="18"/>
    </row>
    <row r="66" spans="1:2" x14ac:dyDescent="0.25">
      <c r="A66" s="18"/>
      <c r="B66" s="18"/>
    </row>
    <row r="67" spans="1:2" x14ac:dyDescent="0.25">
      <c r="A67" s="18"/>
      <c r="B67" s="18"/>
    </row>
  </sheetData>
  <sheetProtection sheet="1" objects="1" scenarios="1"/>
  <sortState ref="A2:B56">
    <sortCondition ref="A33"/>
  </sortState>
  <phoneticPr fontId="13" type="noConversion"/>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4">
    <tabColor rgb="FFFF0000"/>
  </sheetPr>
  <dimension ref="A1:J399"/>
  <sheetViews>
    <sheetView topLeftCell="A109" zoomScaleNormal="100" workbookViewId="0">
      <selection activeCell="C128" sqref="C128"/>
    </sheetView>
  </sheetViews>
  <sheetFormatPr defaultColWidth="8.85546875" defaultRowHeight="15" x14ac:dyDescent="0.25"/>
  <cols>
    <col min="1" max="1" width="19.7109375" style="22" customWidth="1"/>
    <col min="2" max="2" width="11.42578125" style="22" bestFit="1" customWidth="1"/>
    <col min="3" max="3" width="30.5703125" style="22" customWidth="1"/>
    <col min="4" max="4" width="3.42578125" customWidth="1"/>
    <col min="5" max="5" width="17.28515625" customWidth="1"/>
  </cols>
  <sheetData>
    <row r="1" spans="1:3" s="1" customFormat="1" ht="14.25" x14ac:dyDescent="0.2">
      <c r="A1" s="228" t="s">
        <v>57</v>
      </c>
      <c r="B1" s="228" t="s">
        <v>108</v>
      </c>
      <c r="C1" s="16" t="s">
        <v>58</v>
      </c>
    </row>
    <row r="2" spans="1:3" s="1" customFormat="1" x14ac:dyDescent="0.25">
      <c r="A2" s="242" t="s">
        <v>598</v>
      </c>
      <c r="B2" s="242">
        <v>1620</v>
      </c>
      <c r="C2" s="58" t="str">
        <f>VLOOKUP(B2,Orgenheter!$A$1:$B$214,2,0)</f>
        <v>Inst för språkstudier</v>
      </c>
    </row>
    <row r="3" spans="1:3" s="1" customFormat="1" x14ac:dyDescent="0.25">
      <c r="A3" s="242" t="s">
        <v>516</v>
      </c>
      <c r="B3" s="242">
        <v>1620</v>
      </c>
      <c r="C3" s="58" t="str">
        <f>VLOOKUP(B3,Orgenheter!$A$1:$B$214,2,0)</f>
        <v>Inst för språkstudier</v>
      </c>
    </row>
    <row r="4" spans="1:3" s="1" customFormat="1" x14ac:dyDescent="0.25">
      <c r="A4" s="242" t="s">
        <v>518</v>
      </c>
      <c r="B4" s="242">
        <v>1620</v>
      </c>
      <c r="C4" s="58" t="str">
        <f>VLOOKUP(B4,Orgenheter!$A$1:$B$214,2,0)</f>
        <v>Inst för språkstudier</v>
      </c>
    </row>
    <row r="5" spans="1:3" s="1" customFormat="1" x14ac:dyDescent="0.25">
      <c r="A5" s="341" t="s">
        <v>696</v>
      </c>
      <c r="B5" s="338">
        <v>1620</v>
      </c>
      <c r="C5" s="58" t="str">
        <f>VLOOKUP(B5,Orgenheter!$A$1:$B$214,2,0)</f>
        <v>Inst för språkstudier</v>
      </c>
    </row>
    <row r="6" spans="1:3" s="1" customFormat="1" x14ac:dyDescent="0.25">
      <c r="A6" s="272" t="s">
        <v>568</v>
      </c>
      <c r="B6" s="272">
        <v>1620</v>
      </c>
      <c r="C6" s="58" t="str">
        <f>VLOOKUP(B6,Orgenheter!$A$1:$B$214,2,0)</f>
        <v>Inst för språkstudier</v>
      </c>
    </row>
    <row r="7" spans="1:3" s="1" customFormat="1" x14ac:dyDescent="0.25">
      <c r="A7" s="242" t="s">
        <v>520</v>
      </c>
      <c r="B7" s="242">
        <v>1620</v>
      </c>
      <c r="C7" s="58" t="str">
        <f>VLOOKUP(B7,Orgenheter!$A$1:$B$214,2,0)</f>
        <v>Inst för språkstudier</v>
      </c>
    </row>
    <row r="8" spans="1:3" s="1" customFormat="1" x14ac:dyDescent="0.25">
      <c r="A8" s="338" t="s">
        <v>768</v>
      </c>
      <c r="B8" s="338">
        <v>1620</v>
      </c>
      <c r="C8" s="58" t="str">
        <f>VLOOKUP(B8,Orgenheter!$A$1:$B$214,2,0)</f>
        <v>Inst för språkstudier</v>
      </c>
    </row>
    <row r="9" spans="1:3" s="1" customFormat="1" x14ac:dyDescent="0.25">
      <c r="A9" s="272" t="s">
        <v>599</v>
      </c>
      <c r="B9" s="272">
        <v>1620</v>
      </c>
      <c r="C9" s="58" t="str">
        <f>VLOOKUP(B9,Orgenheter!$A$1:$B$214,2,0)</f>
        <v>Inst för språkstudier</v>
      </c>
    </row>
    <row r="10" spans="1:3" s="1" customFormat="1" x14ac:dyDescent="0.25">
      <c r="A10" s="338" t="s">
        <v>857</v>
      </c>
      <c r="B10" s="338">
        <v>1620</v>
      </c>
      <c r="C10" s="58" t="str">
        <f>VLOOKUP(B10,Orgenheter!$A$1:$B$214,2,0)</f>
        <v>Inst för språkstudier</v>
      </c>
    </row>
    <row r="11" spans="1:3" s="1" customFormat="1" x14ac:dyDescent="0.25">
      <c r="A11" s="272" t="s">
        <v>569</v>
      </c>
      <c r="B11" s="272">
        <v>1630</v>
      </c>
      <c r="C11" s="58" t="str">
        <f>VLOOKUP(B11,Orgenheter!$A$1:$B$214,2,0)</f>
        <v>Inst för ide- o samhällsstudier</v>
      </c>
    </row>
    <row r="12" spans="1:3" s="1" customFormat="1" x14ac:dyDescent="0.25">
      <c r="A12" s="272" t="s">
        <v>547</v>
      </c>
      <c r="B12" s="272">
        <v>1620</v>
      </c>
      <c r="C12" s="58" t="str">
        <f>VLOOKUP(B12,Orgenheter!$A$1:$B$214,2,0)</f>
        <v>Inst för språkstudier</v>
      </c>
    </row>
    <row r="13" spans="1:3" s="1" customFormat="1" x14ac:dyDescent="0.25">
      <c r="A13" s="272" t="s">
        <v>548</v>
      </c>
      <c r="B13" s="272">
        <v>1620</v>
      </c>
      <c r="C13" s="58" t="str">
        <f>VLOOKUP(B13,Orgenheter!$A$1:$B$214,2,0)</f>
        <v>Inst för språkstudier</v>
      </c>
    </row>
    <row r="14" spans="1:3" s="1" customFormat="1" x14ac:dyDescent="0.25">
      <c r="A14" s="338" t="s">
        <v>769</v>
      </c>
      <c r="B14" s="338">
        <v>1630</v>
      </c>
      <c r="C14" s="58" t="str">
        <f>VLOOKUP(B14,Orgenheter!$A$1:$B$214,2,0)</f>
        <v>Inst för ide- o samhällsstudier</v>
      </c>
    </row>
    <row r="15" spans="1:3" s="1" customFormat="1" x14ac:dyDescent="0.25">
      <c r="A15" s="338" t="s">
        <v>920</v>
      </c>
      <c r="B15" s="338">
        <v>1630</v>
      </c>
      <c r="C15" s="58" t="str">
        <f>VLOOKUP(B15,Orgenheter!$A$1:$B$214,2,0)</f>
        <v>Inst för ide- o samhällsstudier</v>
      </c>
    </row>
    <row r="16" spans="1:3" s="1" customFormat="1" x14ac:dyDescent="0.25">
      <c r="A16" s="272" t="s">
        <v>549</v>
      </c>
      <c r="B16" s="272">
        <v>1630</v>
      </c>
      <c r="C16" s="58" t="str">
        <f>VLOOKUP(B16,Orgenheter!$A$1:$B$214,2,0)</f>
        <v>Inst för ide- o samhällsstudier</v>
      </c>
    </row>
    <row r="17" spans="1:3" s="1" customFormat="1" x14ac:dyDescent="0.25">
      <c r="A17" s="272" t="s">
        <v>674</v>
      </c>
      <c r="B17" s="272">
        <v>1630</v>
      </c>
      <c r="C17" s="58" t="str">
        <f>VLOOKUP(B17,Orgenheter!$A$1:$B$214,2,0)</f>
        <v>Inst för ide- o samhällsstudier</v>
      </c>
    </row>
    <row r="18" spans="1:3" s="1" customFormat="1" x14ac:dyDescent="0.25">
      <c r="A18" s="338" t="s">
        <v>740</v>
      </c>
      <c r="B18" s="338">
        <v>1630</v>
      </c>
      <c r="C18" s="58" t="str">
        <f>VLOOKUP(B18,Orgenheter!$A$1:$B$214,2,0)</f>
        <v>Inst för ide- o samhällsstudier</v>
      </c>
    </row>
    <row r="19" spans="1:3" s="1" customFormat="1" x14ac:dyDescent="0.25">
      <c r="A19" s="272" t="s">
        <v>550</v>
      </c>
      <c r="B19" s="272">
        <v>1640</v>
      </c>
      <c r="C19" s="58" t="str">
        <f>VLOOKUP(B19,Orgenheter!$A$1:$B$214,2,0)</f>
        <v>Inst för kultur- o medievetenskap</v>
      </c>
    </row>
    <row r="20" spans="1:3" s="1" customFormat="1" x14ac:dyDescent="0.25">
      <c r="A20" s="341" t="s">
        <v>762</v>
      </c>
      <c r="B20" s="338">
        <v>1640</v>
      </c>
      <c r="C20" s="58" t="str">
        <f>VLOOKUP(B20,Orgenheter!$A$1:$B$214,2,0)</f>
        <v>Inst för kultur- o medievetenskap</v>
      </c>
    </row>
    <row r="21" spans="1:3" s="1" customFormat="1" x14ac:dyDescent="0.25">
      <c r="A21" s="341" t="s">
        <v>858</v>
      </c>
      <c r="B21" s="338">
        <v>1650</v>
      </c>
      <c r="C21" s="58" t="str">
        <f>VLOOKUP(B21,Orgenheter!$A$1:$B$214,2,0)</f>
        <v xml:space="preserve">Estetiska ämnen               </v>
      </c>
    </row>
    <row r="22" spans="1:3" s="1" customFormat="1" x14ac:dyDescent="0.25">
      <c r="A22" s="341" t="s">
        <v>827</v>
      </c>
      <c r="B22" s="338">
        <v>1650</v>
      </c>
      <c r="C22" s="58" t="str">
        <f>VLOOKUP(B22,Orgenheter!$A$1:$B$214,2,0)</f>
        <v xml:space="preserve">Estetiska ämnen               </v>
      </c>
    </row>
    <row r="23" spans="1:3" s="1" customFormat="1" x14ac:dyDescent="0.25">
      <c r="A23" s="341" t="s">
        <v>697</v>
      </c>
      <c r="B23" s="338">
        <v>1620</v>
      </c>
      <c r="C23" s="58" t="str">
        <f>VLOOKUP(B23,Orgenheter!$A$1:$B$214,2,0)</f>
        <v>Inst för språkstudier</v>
      </c>
    </row>
    <row r="24" spans="1:3" s="1" customFormat="1" x14ac:dyDescent="0.25">
      <c r="A24" s="272" t="s">
        <v>551</v>
      </c>
      <c r="B24" s="272">
        <v>1620</v>
      </c>
      <c r="C24" s="58" t="str">
        <f>VLOOKUP(B24,Orgenheter!$A$1:$B$214,2,0)</f>
        <v>Inst för språkstudier</v>
      </c>
    </row>
    <row r="25" spans="1:3" s="1" customFormat="1" x14ac:dyDescent="0.25">
      <c r="A25" s="341" t="s">
        <v>763</v>
      </c>
      <c r="B25" s="338">
        <v>1620</v>
      </c>
      <c r="C25" s="58" t="str">
        <f>VLOOKUP(B25,Orgenheter!$A$1:$B$214,2,0)</f>
        <v>Inst för språkstudier</v>
      </c>
    </row>
    <row r="26" spans="1:3" s="1" customFormat="1" x14ac:dyDescent="0.25">
      <c r="A26" s="341" t="s">
        <v>770</v>
      </c>
      <c r="B26" s="338">
        <v>1620</v>
      </c>
      <c r="C26" s="58" t="str">
        <f>VLOOKUP(B26,Orgenheter!$A$1:$B$214,2,0)</f>
        <v>Inst för språkstudier</v>
      </c>
    </row>
    <row r="27" spans="1:3" s="1" customFormat="1" x14ac:dyDescent="0.25">
      <c r="A27" s="341" t="s">
        <v>771</v>
      </c>
      <c r="B27" s="338">
        <v>1620</v>
      </c>
      <c r="C27" s="58" t="str">
        <f>VLOOKUP(B27,Orgenheter!$A$1:$B$214,2,0)</f>
        <v>Inst för språkstudier</v>
      </c>
    </row>
    <row r="28" spans="1:3" s="1" customFormat="1" x14ac:dyDescent="0.25">
      <c r="A28" s="341" t="s">
        <v>859</v>
      </c>
      <c r="B28" s="338">
        <v>1620</v>
      </c>
      <c r="C28" s="58" t="str">
        <f>VLOOKUP(B28,Orgenheter!$A$1:$B$214,2,0)</f>
        <v>Inst för språkstudier</v>
      </c>
    </row>
    <row r="29" spans="1:3" s="1" customFormat="1" x14ac:dyDescent="0.25">
      <c r="A29" s="341" t="s">
        <v>860</v>
      </c>
      <c r="B29" s="338">
        <v>1620</v>
      </c>
      <c r="C29" s="58" t="str">
        <f>VLOOKUP(B29,Orgenheter!$A$1:$B$214,2,0)</f>
        <v>Inst för språkstudier</v>
      </c>
    </row>
    <row r="30" spans="1:3" s="1" customFormat="1" x14ac:dyDescent="0.25">
      <c r="A30" s="341" t="s">
        <v>828</v>
      </c>
      <c r="B30" s="338">
        <v>1620</v>
      </c>
      <c r="C30" s="58" t="str">
        <f>VLOOKUP(B30,Orgenheter!$A$1:$B$214,2,0)</f>
        <v>Inst för språkstudier</v>
      </c>
    </row>
    <row r="31" spans="1:3" s="1" customFormat="1" x14ac:dyDescent="0.25">
      <c r="A31" s="341" t="s">
        <v>829</v>
      </c>
      <c r="B31" s="338">
        <v>1620</v>
      </c>
      <c r="C31" s="58" t="str">
        <f>VLOOKUP(B31,Orgenheter!$A$1:$B$214,2,0)</f>
        <v>Inst för språkstudier</v>
      </c>
    </row>
    <row r="32" spans="1:3" s="1" customFormat="1" x14ac:dyDescent="0.25">
      <c r="A32" s="341" t="s">
        <v>830</v>
      </c>
      <c r="B32" s="338">
        <v>1620</v>
      </c>
      <c r="C32" s="58" t="str">
        <f>VLOOKUP(B32,Orgenheter!$A$1:$B$214,2,0)</f>
        <v>Inst för språkstudier</v>
      </c>
    </row>
    <row r="33" spans="1:3" s="1" customFormat="1" x14ac:dyDescent="0.25">
      <c r="A33" s="341" t="s">
        <v>921</v>
      </c>
      <c r="B33" s="338">
        <v>1620</v>
      </c>
      <c r="C33" s="58" t="str">
        <f>VLOOKUP(B33,Orgenheter!$A$1:$B$214,2,0)</f>
        <v>Inst för språkstudier</v>
      </c>
    </row>
    <row r="34" spans="1:3" s="1" customFormat="1" x14ac:dyDescent="0.25">
      <c r="A34" s="272" t="s">
        <v>600</v>
      </c>
      <c r="B34" s="272">
        <v>1630</v>
      </c>
      <c r="C34" s="58" t="str">
        <f>VLOOKUP(B34,Orgenheter!$A$1:$B$214,2,0)</f>
        <v>Inst för ide- o samhällsstudier</v>
      </c>
    </row>
    <row r="35" spans="1:3" s="1" customFormat="1" x14ac:dyDescent="0.25">
      <c r="A35" s="272" t="s">
        <v>601</v>
      </c>
      <c r="B35" s="272">
        <v>1630</v>
      </c>
      <c r="C35" s="58" t="str">
        <f>VLOOKUP(B35,Orgenheter!$A$1:$B$214,2,0)</f>
        <v>Inst för ide- o samhällsstudier</v>
      </c>
    </row>
    <row r="36" spans="1:3" s="1" customFormat="1" x14ac:dyDescent="0.25">
      <c r="A36" s="338" t="s">
        <v>772</v>
      </c>
      <c r="B36" s="338">
        <v>1630</v>
      </c>
      <c r="C36" s="58" t="str">
        <f>VLOOKUP(B36,Orgenheter!$A$1:$B$214,2,0)</f>
        <v>Inst för ide- o samhällsstudier</v>
      </c>
    </row>
    <row r="37" spans="1:3" s="1" customFormat="1" x14ac:dyDescent="0.25">
      <c r="A37" s="341" t="s">
        <v>698</v>
      </c>
      <c r="B37" s="338">
        <v>1630</v>
      </c>
      <c r="C37" s="58" t="str">
        <f>VLOOKUP(B37,Orgenheter!$A$1:$B$214,2,0)</f>
        <v>Inst för ide- o samhällsstudier</v>
      </c>
    </row>
    <row r="38" spans="1:3" s="1" customFormat="1" x14ac:dyDescent="0.25">
      <c r="A38" s="341" t="s">
        <v>699</v>
      </c>
      <c r="B38" s="338">
        <v>1630</v>
      </c>
      <c r="C38" s="58" t="str">
        <f>VLOOKUP(B38,Orgenheter!$A$1:$B$214,2,0)</f>
        <v>Inst för ide- o samhällsstudier</v>
      </c>
    </row>
    <row r="39" spans="1:3" s="1" customFormat="1" x14ac:dyDescent="0.25">
      <c r="A39" s="341" t="s">
        <v>700</v>
      </c>
      <c r="B39" s="338">
        <v>1630</v>
      </c>
      <c r="C39" s="58" t="str">
        <f>VLOOKUP(B39,Orgenheter!$A$1:$B$214,2,0)</f>
        <v>Inst för ide- o samhällsstudier</v>
      </c>
    </row>
    <row r="40" spans="1:3" s="1" customFormat="1" x14ac:dyDescent="0.25">
      <c r="A40" s="296" t="s">
        <v>650</v>
      </c>
      <c r="B40" s="272">
        <v>1620</v>
      </c>
      <c r="C40" s="58" t="str">
        <f>VLOOKUP(B40,Orgenheter!$A$1:$B$214,2,0)</f>
        <v>Inst för språkstudier</v>
      </c>
    </row>
    <row r="41" spans="1:3" s="1" customFormat="1" x14ac:dyDescent="0.25">
      <c r="A41" s="341" t="s">
        <v>773</v>
      </c>
      <c r="B41" s="338">
        <v>1620</v>
      </c>
      <c r="C41" s="58" t="str">
        <f>VLOOKUP(B41,Orgenheter!$A$1:$B$214,2,0)</f>
        <v>Inst för språkstudier</v>
      </c>
    </row>
    <row r="42" spans="1:3" s="1" customFormat="1" x14ac:dyDescent="0.25">
      <c r="A42" s="296" t="s">
        <v>651</v>
      </c>
      <c r="B42" s="272">
        <v>1620</v>
      </c>
      <c r="C42" s="58" t="str">
        <f>VLOOKUP(B42,Orgenheter!$A$1:$B$214,2,0)</f>
        <v>Inst för språkstudier</v>
      </c>
    </row>
    <row r="43" spans="1:3" s="1" customFormat="1" x14ac:dyDescent="0.25">
      <c r="A43" s="296" t="s">
        <v>652</v>
      </c>
      <c r="B43" s="272">
        <v>1620</v>
      </c>
      <c r="C43" s="58" t="str">
        <f>VLOOKUP(B43,Orgenheter!$A$1:$B$214,2,0)</f>
        <v>Inst för språkstudier</v>
      </c>
    </row>
    <row r="44" spans="1:3" s="1" customFormat="1" x14ac:dyDescent="0.25">
      <c r="A44" s="272" t="s">
        <v>602</v>
      </c>
      <c r="B44" s="272">
        <v>1620</v>
      </c>
      <c r="C44" s="58" t="str">
        <f>VLOOKUP(B44,Orgenheter!$A$1:$B$214,2,0)</f>
        <v>Inst för språkstudier</v>
      </c>
    </row>
    <row r="45" spans="1:3" s="1" customFormat="1" x14ac:dyDescent="0.25">
      <c r="A45" s="341" t="s">
        <v>701</v>
      </c>
      <c r="B45" s="338">
        <v>1620</v>
      </c>
      <c r="C45" s="58" t="str">
        <f>VLOOKUP(B45,Orgenheter!$A$1:$B$214,2,0)</f>
        <v>Inst för språkstudier</v>
      </c>
    </row>
    <row r="46" spans="1:3" s="1" customFormat="1" x14ac:dyDescent="0.25">
      <c r="A46" s="341" t="s">
        <v>831</v>
      </c>
      <c r="B46" s="338">
        <v>1650</v>
      </c>
      <c r="C46" s="58" t="str">
        <f>VLOOKUP(B46,Orgenheter!$A$1:$B$214,2,0)</f>
        <v xml:space="preserve">Estetiska ämnen               </v>
      </c>
    </row>
    <row r="47" spans="1:3" s="1" customFormat="1" x14ac:dyDescent="0.25">
      <c r="A47" s="272" t="s">
        <v>552</v>
      </c>
      <c r="B47" s="272">
        <v>1620</v>
      </c>
      <c r="C47" s="58" t="str">
        <f>VLOOKUP(B47,Orgenheter!$A$1:$B$214,2,0)</f>
        <v>Inst för språkstudier</v>
      </c>
    </row>
    <row r="48" spans="1:3" s="1" customFormat="1" x14ac:dyDescent="0.25">
      <c r="A48" s="272" t="s">
        <v>522</v>
      </c>
      <c r="B48" s="272">
        <v>1620</v>
      </c>
      <c r="C48" s="58" t="str">
        <f>VLOOKUP(B48,Orgenheter!$A$1:$B$214,2,0)</f>
        <v>Inst för språkstudier</v>
      </c>
    </row>
    <row r="49" spans="1:3" s="1" customFormat="1" x14ac:dyDescent="0.25">
      <c r="A49" s="341" t="s">
        <v>774</v>
      </c>
      <c r="B49" s="338">
        <v>1620</v>
      </c>
      <c r="C49" s="58" t="str">
        <f>VLOOKUP(B49,Orgenheter!$A$1:$B$214,2,0)</f>
        <v>Inst för språkstudier</v>
      </c>
    </row>
    <row r="50" spans="1:3" s="1" customFormat="1" x14ac:dyDescent="0.25">
      <c r="A50" s="341" t="s">
        <v>702</v>
      </c>
      <c r="B50" s="338">
        <v>1620</v>
      </c>
      <c r="C50" s="58" t="str">
        <f>VLOOKUP(B50,Orgenheter!$A$1:$B$214,2,0)</f>
        <v>Inst för språkstudier</v>
      </c>
    </row>
    <row r="51" spans="1:3" s="1" customFormat="1" x14ac:dyDescent="0.25">
      <c r="A51" s="296" t="s">
        <v>665</v>
      </c>
      <c r="B51" s="272">
        <v>1620</v>
      </c>
      <c r="C51" s="58" t="str">
        <f>VLOOKUP(B51,Orgenheter!$A$1:$B$214,2,0)</f>
        <v>Inst för språkstudier</v>
      </c>
    </row>
    <row r="52" spans="1:3" s="1" customFormat="1" x14ac:dyDescent="0.25">
      <c r="A52" s="272" t="s">
        <v>553</v>
      </c>
      <c r="B52" s="272">
        <v>1620</v>
      </c>
      <c r="C52" s="58" t="str">
        <f>VLOOKUP(B52,Orgenheter!$A$1:$B$214,2,0)</f>
        <v>Inst för språkstudier</v>
      </c>
    </row>
    <row r="53" spans="1:3" s="1" customFormat="1" x14ac:dyDescent="0.25">
      <c r="A53" s="338" t="s">
        <v>741</v>
      </c>
      <c r="B53" s="338">
        <v>1620</v>
      </c>
      <c r="C53" s="58" t="str">
        <f>VLOOKUP(B53,Orgenheter!$A$1:$B$214,2,0)</f>
        <v>Inst för språkstudier</v>
      </c>
    </row>
    <row r="54" spans="1:3" s="1" customFormat="1" x14ac:dyDescent="0.25">
      <c r="A54" s="338" t="s">
        <v>853</v>
      </c>
      <c r="B54" s="338">
        <v>1620</v>
      </c>
      <c r="C54" s="58" t="str">
        <f>VLOOKUP(B54,Orgenheter!$A$1:$B$214,2,0)</f>
        <v>Inst för språkstudier</v>
      </c>
    </row>
    <row r="55" spans="1:3" s="1" customFormat="1" x14ac:dyDescent="0.25">
      <c r="A55" s="338" t="s">
        <v>832</v>
      </c>
      <c r="B55" s="338">
        <v>1620</v>
      </c>
      <c r="C55" s="58" t="str">
        <f>VLOOKUP(B55,Orgenheter!$A$1:$B$214,2,0)</f>
        <v>Inst för språkstudier</v>
      </c>
    </row>
    <row r="56" spans="1:3" s="1" customFormat="1" x14ac:dyDescent="0.25">
      <c r="A56" s="296" t="s">
        <v>666</v>
      </c>
      <c r="B56" s="272">
        <v>1620</v>
      </c>
      <c r="C56" s="58" t="str">
        <f>VLOOKUP(B56,Orgenheter!$A$1:$B$214,2,0)</f>
        <v>Inst för språkstudier</v>
      </c>
    </row>
    <row r="57" spans="1:3" s="1" customFormat="1" x14ac:dyDescent="0.25">
      <c r="A57" s="272" t="s">
        <v>603</v>
      </c>
      <c r="B57" s="272">
        <v>2193</v>
      </c>
      <c r="C57" s="58" t="str">
        <f>VLOOKUP(B57,Orgenheter!$A$1:$B$214,2,0)</f>
        <v xml:space="preserve">TUV </v>
      </c>
    </row>
    <row r="58" spans="1:3" s="1" customFormat="1" x14ac:dyDescent="0.25">
      <c r="A58" s="272" t="s">
        <v>604</v>
      </c>
      <c r="B58" s="272">
        <v>2193</v>
      </c>
      <c r="C58" s="58" t="str">
        <f>VLOOKUP(B58,Orgenheter!$A$1:$B$214,2,0)</f>
        <v xml:space="preserve">TUV </v>
      </c>
    </row>
    <row r="59" spans="1:3" s="1" customFormat="1" x14ac:dyDescent="0.25">
      <c r="A59" s="338" t="s">
        <v>742</v>
      </c>
      <c r="B59" s="338">
        <v>2193</v>
      </c>
      <c r="C59" s="58" t="str">
        <f>VLOOKUP(B59,Orgenheter!$A$1:$B$214,2,0)</f>
        <v xml:space="preserve">TUV </v>
      </c>
    </row>
    <row r="60" spans="1:3" s="1" customFormat="1" x14ac:dyDescent="0.25">
      <c r="A60" s="296" t="s">
        <v>591</v>
      </c>
      <c r="B60" s="272">
        <v>2193</v>
      </c>
      <c r="C60" s="58" t="str">
        <f>VLOOKUP(B60,Orgenheter!$A$1:$B$214,2,0)</f>
        <v xml:space="preserve">TUV </v>
      </c>
    </row>
    <row r="61" spans="1:3" s="1" customFormat="1" x14ac:dyDescent="0.25">
      <c r="A61" s="341" t="s">
        <v>703</v>
      </c>
      <c r="B61" s="338">
        <v>2300</v>
      </c>
      <c r="C61" s="58" t="str">
        <f>VLOOKUP(B61,Orgenheter!$A$1:$B$214,2,0)</f>
        <v xml:space="preserve">Juridiska institutionen       </v>
      </c>
    </row>
    <row r="62" spans="1:3" s="1" customFormat="1" x14ac:dyDescent="0.25">
      <c r="A62" s="272" t="s">
        <v>570</v>
      </c>
      <c r="B62" s="272">
        <v>2650</v>
      </c>
      <c r="C62" s="58" t="str">
        <f>VLOOKUP(B62,Orgenheter!$A$1:$B$214,2,0)</f>
        <v xml:space="preserve">Kostvetenskap                 </v>
      </c>
    </row>
    <row r="63" spans="1:3" s="1" customFormat="1" x14ac:dyDescent="0.25">
      <c r="A63" s="338" t="s">
        <v>861</v>
      </c>
      <c r="B63" s="338">
        <v>2200</v>
      </c>
      <c r="C63" s="58" t="str">
        <f>VLOOKUP(B63,Orgenheter!$A$1:$B$214,2,0)</f>
        <v xml:space="preserve">Inst för psykologi            </v>
      </c>
    </row>
    <row r="64" spans="1:3" s="1" customFormat="1" x14ac:dyDescent="0.25">
      <c r="A64" s="338" t="s">
        <v>862</v>
      </c>
      <c r="B64" s="338">
        <v>2200</v>
      </c>
      <c r="C64" s="58" t="str">
        <f>VLOOKUP(B64,Orgenheter!$A$1:$B$214,2,0)</f>
        <v xml:space="preserve">Inst för psykologi            </v>
      </c>
    </row>
    <row r="65" spans="1:3" s="1" customFormat="1" x14ac:dyDescent="0.25">
      <c r="A65" s="338" t="s">
        <v>863</v>
      </c>
      <c r="B65" s="338">
        <v>2200</v>
      </c>
      <c r="C65" s="58" t="str">
        <f>VLOOKUP(B65,Orgenheter!$A$1:$B$214,2,0)</f>
        <v xml:space="preserve">Inst för psykologi            </v>
      </c>
    </row>
    <row r="66" spans="1:3" s="1" customFormat="1" x14ac:dyDescent="0.25">
      <c r="A66" s="338" t="s">
        <v>864</v>
      </c>
      <c r="B66" s="338">
        <v>2200</v>
      </c>
      <c r="C66" s="58" t="str">
        <f>VLOOKUP(B66,Orgenheter!$A$1:$B$214,2,0)</f>
        <v xml:space="preserve">Inst för psykologi            </v>
      </c>
    </row>
    <row r="67" spans="1:3" s="1" customFormat="1" x14ac:dyDescent="0.25">
      <c r="A67" s="341" t="s">
        <v>764</v>
      </c>
      <c r="B67" s="338">
        <v>2193</v>
      </c>
      <c r="C67" s="58" t="str">
        <f>VLOOKUP(B67,Orgenheter!$A$1:$B$214,2,0)</f>
        <v xml:space="preserve">TUV </v>
      </c>
    </row>
    <row r="68" spans="1:3" s="1" customFormat="1" x14ac:dyDescent="0.25">
      <c r="A68" s="272" t="s">
        <v>554</v>
      </c>
      <c r="B68" s="272">
        <v>2340</v>
      </c>
      <c r="C68" s="58" t="str">
        <f>VLOOKUP(B68,Orgenheter!$A$1:$B$214,2,0)</f>
        <v xml:space="preserve">Statsvetenskap                </v>
      </c>
    </row>
    <row r="69" spans="1:3" s="1" customFormat="1" x14ac:dyDescent="0.25">
      <c r="A69" s="304" t="s">
        <v>663</v>
      </c>
      <c r="B69" s="272">
        <v>5100</v>
      </c>
      <c r="C69" s="58" t="str">
        <f>VLOOKUP(B69,Orgenheter!$A$1:$B$214,2,0)</f>
        <v>EMG</v>
      </c>
    </row>
    <row r="70" spans="1:3" s="1" customFormat="1" x14ac:dyDescent="0.25">
      <c r="A70" s="304" t="s">
        <v>675</v>
      </c>
      <c r="B70" s="272">
        <v>5100</v>
      </c>
      <c r="C70" s="58" t="str">
        <f>VLOOKUP(B70,Orgenheter!$A$1:$B$214,2,0)</f>
        <v>EMG</v>
      </c>
    </row>
    <row r="71" spans="1:3" s="1" customFormat="1" x14ac:dyDescent="0.25">
      <c r="A71" s="339" t="s">
        <v>704</v>
      </c>
      <c r="B71" s="338">
        <v>5410</v>
      </c>
      <c r="C71" s="58" t="str">
        <f>VLOOKUP(B71,Orgenheter!$A$1:$B$214,2,0)</f>
        <v>TFE</v>
      </c>
    </row>
    <row r="72" spans="1:3" s="1" customFormat="1" x14ac:dyDescent="0.25">
      <c r="A72" s="339" t="s">
        <v>705</v>
      </c>
      <c r="B72" s="338">
        <v>5500</v>
      </c>
      <c r="C72" s="58" t="str">
        <f>VLOOKUP(B72,Orgenheter!$A$1:$B$214,2,0)</f>
        <v xml:space="preserve">Kemiska institutionen         </v>
      </c>
    </row>
    <row r="73" spans="1:3" s="1" customFormat="1" x14ac:dyDescent="0.25">
      <c r="A73" s="304" t="s">
        <v>605</v>
      </c>
      <c r="B73" s="272">
        <v>5500</v>
      </c>
      <c r="C73" s="58" t="str">
        <f>VLOOKUP(B73,Orgenheter!$A$1:$B$214,2,0)</f>
        <v xml:space="preserve">Kemiska institutionen         </v>
      </c>
    </row>
    <row r="74" spans="1:3" s="1" customFormat="1" x14ac:dyDescent="0.25">
      <c r="A74" s="304" t="s">
        <v>606</v>
      </c>
      <c r="B74" s="272">
        <v>5500</v>
      </c>
      <c r="C74" s="58" t="str">
        <f>VLOOKUP(B74,Orgenheter!$A$1:$B$214,2,0)</f>
        <v xml:space="preserve">Kemiska institutionen         </v>
      </c>
    </row>
    <row r="75" spans="1:3" s="1" customFormat="1" x14ac:dyDescent="0.25">
      <c r="A75" s="278" t="s">
        <v>706</v>
      </c>
      <c r="B75" s="338">
        <v>5500</v>
      </c>
      <c r="C75" s="58" t="str">
        <f>VLOOKUP(B75,Orgenheter!$A$1:$B$214,2,0)</f>
        <v xml:space="preserve">Kemiska institutionen         </v>
      </c>
    </row>
    <row r="76" spans="1:3" s="1" customFormat="1" x14ac:dyDescent="0.25">
      <c r="A76" s="278" t="s">
        <v>707</v>
      </c>
      <c r="B76" s="338">
        <v>5500</v>
      </c>
      <c r="C76" s="58" t="str">
        <f>VLOOKUP(B76,Orgenheter!$A$1:$B$214,2,0)</f>
        <v xml:space="preserve">Kemiska institutionen         </v>
      </c>
    </row>
    <row r="77" spans="1:3" s="1" customFormat="1" x14ac:dyDescent="0.25">
      <c r="A77" s="278" t="s">
        <v>775</v>
      </c>
      <c r="B77" s="338">
        <v>5740</v>
      </c>
      <c r="C77" s="58" t="str">
        <f>VLOOKUP(B77,Orgenheter!$A$1:$B$214,2,0)</f>
        <v>NMD</v>
      </c>
    </row>
    <row r="78" spans="1:3" ht="15.75" x14ac:dyDescent="0.25">
      <c r="A78" s="257" t="s">
        <v>544</v>
      </c>
      <c r="B78" s="274">
        <v>5740</v>
      </c>
      <c r="C78" s="58" t="str">
        <f>VLOOKUP(B78,Orgenheter!$A$1:$B$214,2,0)</f>
        <v>NMD</v>
      </c>
    </row>
    <row r="79" spans="1:3" ht="15.75" x14ac:dyDescent="0.25">
      <c r="A79" s="257" t="s">
        <v>524</v>
      </c>
      <c r="B79" s="274">
        <v>5740</v>
      </c>
      <c r="C79" s="58" t="str">
        <f>VLOOKUP(B79,Orgenheter!$A$1:$B$214,2,0)</f>
        <v>NMD</v>
      </c>
    </row>
    <row r="80" spans="1:3" ht="12.95" customHeight="1" x14ac:dyDescent="0.25">
      <c r="A80" s="278" t="s">
        <v>525</v>
      </c>
      <c r="B80" s="272">
        <v>5740</v>
      </c>
      <c r="C80" s="58" t="str">
        <f>VLOOKUP(B80,Orgenheter!$A$1:$B$214,2,0)</f>
        <v>NMD</v>
      </c>
    </row>
    <row r="81" spans="1:3" ht="12.95" customHeight="1" x14ac:dyDescent="0.25">
      <c r="A81" s="278" t="s">
        <v>526</v>
      </c>
      <c r="B81" s="272">
        <v>5740</v>
      </c>
      <c r="C81" s="58" t="str">
        <f>VLOOKUP(B81,Orgenheter!$A$1:$B$214,2,0)</f>
        <v>NMD</v>
      </c>
    </row>
    <row r="82" spans="1:3" ht="12.95" customHeight="1" x14ac:dyDescent="0.25">
      <c r="A82" s="278" t="s">
        <v>527</v>
      </c>
      <c r="B82" s="272">
        <v>5740</v>
      </c>
      <c r="C82" s="58" t="str">
        <f>VLOOKUP(B82,Orgenheter!$A$1:$B$214,2,0)</f>
        <v>NMD</v>
      </c>
    </row>
    <row r="83" spans="1:3" ht="12.95" customHeight="1" x14ac:dyDescent="0.25">
      <c r="A83" s="278" t="s">
        <v>575</v>
      </c>
      <c r="B83" s="272">
        <v>5740</v>
      </c>
      <c r="C83" s="58" t="str">
        <f>VLOOKUP(B83,Orgenheter!$A$1:$B$214,2,0)</f>
        <v>NMD</v>
      </c>
    </row>
    <row r="84" spans="1:3" ht="12.95" customHeight="1" x14ac:dyDescent="0.25">
      <c r="A84" s="278" t="s">
        <v>576</v>
      </c>
      <c r="B84" s="272">
        <v>5740</v>
      </c>
      <c r="C84" s="58" t="str">
        <f>VLOOKUP(B84,Orgenheter!$A$1:$B$214,2,0)</f>
        <v>NMD</v>
      </c>
    </row>
    <row r="85" spans="1:3" ht="12.95" customHeight="1" x14ac:dyDescent="0.25">
      <c r="A85" s="278" t="s">
        <v>577</v>
      </c>
      <c r="B85" s="272">
        <v>5740</v>
      </c>
      <c r="C85" s="58" t="str">
        <f>VLOOKUP(B85,Orgenheter!$A$1:$B$214,2,0)</f>
        <v>NMD</v>
      </c>
    </row>
    <row r="86" spans="1:3" ht="12.95" customHeight="1" x14ac:dyDescent="0.25">
      <c r="A86" s="278" t="s">
        <v>607</v>
      </c>
      <c r="B86" s="272">
        <v>5740</v>
      </c>
      <c r="C86" s="58" t="str">
        <f>VLOOKUP(B86,Orgenheter!$A$1:$B$214,2,0)</f>
        <v>NMD</v>
      </c>
    </row>
    <row r="87" spans="1:3" ht="12.95" customHeight="1" x14ac:dyDescent="0.25">
      <c r="A87" s="278" t="s">
        <v>608</v>
      </c>
      <c r="B87" s="272">
        <v>5740</v>
      </c>
      <c r="C87" s="58" t="str">
        <f>VLOOKUP(B87,Orgenheter!$A$1:$B$214,2,0)</f>
        <v>NMD</v>
      </c>
    </row>
    <row r="88" spans="1:3" ht="12.95" customHeight="1" x14ac:dyDescent="0.25">
      <c r="A88" s="278" t="s">
        <v>609</v>
      </c>
      <c r="B88" s="272">
        <v>5740</v>
      </c>
      <c r="C88" s="58" t="str">
        <f>VLOOKUP(B88,Orgenheter!$A$1:$B$214,2,0)</f>
        <v>NMD</v>
      </c>
    </row>
    <row r="89" spans="1:3" ht="12.95" customHeight="1" x14ac:dyDescent="0.25">
      <c r="A89" s="278" t="s">
        <v>610</v>
      </c>
      <c r="B89" s="272">
        <v>5740</v>
      </c>
      <c r="C89" s="58" t="str">
        <f>VLOOKUP(B89,Orgenheter!$A$1:$B$214,2,0)</f>
        <v>NMD</v>
      </c>
    </row>
    <row r="90" spans="1:3" ht="12.95" customHeight="1" x14ac:dyDescent="0.25">
      <c r="A90" s="339" t="s">
        <v>708</v>
      </c>
      <c r="B90" s="338">
        <v>1620</v>
      </c>
      <c r="C90" s="58" t="str">
        <f>VLOOKUP(B90,Orgenheter!$A$1:$B$214,2,0)</f>
        <v>Inst för språkstudier</v>
      </c>
    </row>
    <row r="91" spans="1:3" ht="12.95" customHeight="1" x14ac:dyDescent="0.25">
      <c r="A91" s="278" t="s">
        <v>611</v>
      </c>
      <c r="B91" s="272">
        <v>1620</v>
      </c>
      <c r="C91" s="58" t="str">
        <f>VLOOKUP(B91,Orgenheter!$A$1:$B$214,2,0)</f>
        <v>Inst för språkstudier</v>
      </c>
    </row>
    <row r="92" spans="1:3" ht="12.95" customHeight="1" x14ac:dyDescent="0.25">
      <c r="A92" s="339" t="s">
        <v>709</v>
      </c>
      <c r="B92" s="338">
        <v>1620</v>
      </c>
      <c r="C92" s="58" t="str">
        <f>VLOOKUP(B92,Orgenheter!$A$1:$B$214,2,0)</f>
        <v>Inst för språkstudier</v>
      </c>
    </row>
    <row r="93" spans="1:3" ht="12.95" customHeight="1" x14ac:dyDescent="0.25">
      <c r="A93" s="278" t="s">
        <v>676</v>
      </c>
      <c r="B93" s="272">
        <v>1620</v>
      </c>
      <c r="C93" s="58" t="str">
        <f>VLOOKUP(B93,Orgenheter!$A$1:$B$214,2,0)</f>
        <v>Inst för språkstudier</v>
      </c>
    </row>
    <row r="94" spans="1:3" x14ac:dyDescent="0.25">
      <c r="A94" s="242" t="s">
        <v>313</v>
      </c>
      <c r="B94" s="242">
        <v>1650</v>
      </c>
      <c r="C94" s="58" t="str">
        <f>VLOOKUP(B94,Orgenheter!$A$1:$B$214,2,0)</f>
        <v xml:space="preserve">Estetiska ämnen               </v>
      </c>
    </row>
    <row r="95" spans="1:3" x14ac:dyDescent="0.25">
      <c r="A95" s="242" t="s">
        <v>371</v>
      </c>
      <c r="B95" s="242">
        <v>1650</v>
      </c>
      <c r="C95" s="58" t="str">
        <f>VLOOKUP(B95,Orgenheter!$A$1:$B$214,2,0)</f>
        <v xml:space="preserve">Estetiska ämnen               </v>
      </c>
    </row>
    <row r="96" spans="1:3" x14ac:dyDescent="0.25">
      <c r="A96" s="272" t="s">
        <v>612</v>
      </c>
      <c r="B96" s="272">
        <v>1650</v>
      </c>
      <c r="C96" s="58" t="str">
        <f>VLOOKUP(B96,Orgenheter!$A$1:$B$214,2,0)</f>
        <v xml:space="preserve">Estetiska ämnen               </v>
      </c>
    </row>
    <row r="97" spans="1:3" x14ac:dyDescent="0.25">
      <c r="A97" s="338" t="s">
        <v>776</v>
      </c>
      <c r="B97" s="338">
        <v>1650</v>
      </c>
      <c r="C97" s="58" t="str">
        <f>VLOOKUP(B97,Orgenheter!$A$1:$B$214,2,0)</f>
        <v xml:space="preserve">Estetiska ämnen               </v>
      </c>
    </row>
    <row r="98" spans="1:3" ht="12.95" customHeight="1" x14ac:dyDescent="0.25">
      <c r="A98" s="253" t="s">
        <v>395</v>
      </c>
      <c r="B98" s="241">
        <v>1650</v>
      </c>
      <c r="C98" s="58" t="str">
        <f>VLOOKUP(B98,Orgenheter!$A$1:$B$214,2,0)</f>
        <v xml:space="preserve">Estetiska ämnen               </v>
      </c>
    </row>
    <row r="99" spans="1:3" ht="12.95" customHeight="1" x14ac:dyDescent="0.25">
      <c r="A99" s="275" t="s">
        <v>409</v>
      </c>
      <c r="B99" s="272">
        <v>1650</v>
      </c>
      <c r="C99" s="58" t="str">
        <f>VLOOKUP(B99,Orgenheter!$A$1:$B$214,2,0)</f>
        <v xml:space="preserve">Estetiska ämnen               </v>
      </c>
    </row>
    <row r="100" spans="1:3" ht="12.95" customHeight="1" x14ac:dyDescent="0.25">
      <c r="A100" s="305" t="s">
        <v>710</v>
      </c>
      <c r="B100" s="338">
        <v>1650</v>
      </c>
      <c r="C100" s="58" t="str">
        <f>VLOOKUP(B100,Orgenheter!$A$1:$B$214,2,0)</f>
        <v xml:space="preserve">Estetiska ämnen               </v>
      </c>
    </row>
    <row r="101" spans="1:3" ht="12.95" customHeight="1" x14ac:dyDescent="0.25">
      <c r="A101" s="305" t="s">
        <v>711</v>
      </c>
      <c r="B101" s="338">
        <v>1650</v>
      </c>
      <c r="C101" s="58" t="str">
        <f>VLOOKUP(B101,Orgenheter!$A$1:$B$214,2,0)</f>
        <v xml:space="preserve">Estetiska ämnen               </v>
      </c>
    </row>
    <row r="102" spans="1:3" ht="12.95" customHeight="1" x14ac:dyDescent="0.25">
      <c r="A102" s="256" t="s">
        <v>677</v>
      </c>
      <c r="B102" s="272">
        <v>1650</v>
      </c>
      <c r="C102" s="58" t="str">
        <f>VLOOKUP(B102,Orgenheter!$A$1:$B$214,2,0)</f>
        <v xml:space="preserve">Estetiska ämnen               </v>
      </c>
    </row>
    <row r="103" spans="1:3" ht="12.95" customHeight="1" x14ac:dyDescent="0.25">
      <c r="A103" s="305" t="s">
        <v>765</v>
      </c>
      <c r="B103" s="338">
        <v>1650</v>
      </c>
      <c r="C103" s="58" t="str">
        <f>VLOOKUP(B103,Orgenheter!$A$1:$B$214,2,0)</f>
        <v xml:space="preserve">Estetiska ämnen               </v>
      </c>
    </row>
    <row r="104" spans="1:3" ht="12.95" customHeight="1" x14ac:dyDescent="0.25">
      <c r="A104" s="305" t="s">
        <v>777</v>
      </c>
      <c r="B104" s="338">
        <v>1650</v>
      </c>
      <c r="C104" s="58" t="str">
        <f>VLOOKUP(B104,Orgenheter!$A$1:$B$214,2,0)</f>
        <v xml:space="preserve">Estetiska ämnen               </v>
      </c>
    </row>
    <row r="105" spans="1:3" ht="12.95" customHeight="1" x14ac:dyDescent="0.25">
      <c r="A105" s="305" t="s">
        <v>833</v>
      </c>
      <c r="B105" s="338">
        <v>1650</v>
      </c>
      <c r="C105" s="58" t="str">
        <f>VLOOKUP(B105,Orgenheter!$A$1:$B$214,2,0)</f>
        <v xml:space="preserve">Estetiska ämnen               </v>
      </c>
    </row>
    <row r="106" spans="1:3" ht="12.95" customHeight="1" x14ac:dyDescent="0.25">
      <c r="A106" s="256" t="s">
        <v>678</v>
      </c>
      <c r="B106" s="272">
        <v>5400</v>
      </c>
      <c r="C106" s="58" t="str">
        <f>VLOOKUP(B106,Orgenheter!$A$1:$B$214,2,0)</f>
        <v xml:space="preserve">Inst för Fysik                </v>
      </c>
    </row>
    <row r="107" spans="1:3" ht="15.75" x14ac:dyDescent="0.25">
      <c r="A107" s="257" t="s">
        <v>545</v>
      </c>
      <c r="B107" s="219">
        <v>5740</v>
      </c>
      <c r="C107" s="58" t="str">
        <f>VLOOKUP(B107,Orgenheter!$A$1:$B$214,2,0)</f>
        <v>NMD</v>
      </c>
    </row>
    <row r="108" spans="1:3" ht="12.95" customHeight="1" x14ac:dyDescent="0.25">
      <c r="A108" s="255" t="s">
        <v>546</v>
      </c>
      <c r="B108" s="219">
        <v>5740</v>
      </c>
      <c r="C108" s="58" t="str">
        <f>VLOOKUP(B108,Orgenheter!$A$1:$B$214,2,0)</f>
        <v>NMD</v>
      </c>
    </row>
    <row r="109" spans="1:3" ht="12.95" customHeight="1" x14ac:dyDescent="0.25">
      <c r="A109" s="257" t="s">
        <v>613</v>
      </c>
      <c r="B109" s="274">
        <v>1630</v>
      </c>
      <c r="C109" s="58" t="str">
        <f>VLOOKUP(B109,Orgenheter!$A$1:$B$214,2,0)</f>
        <v>Inst för ide- o samhällsstudier</v>
      </c>
    </row>
    <row r="110" spans="1:3" ht="12.95" customHeight="1" x14ac:dyDescent="0.25">
      <c r="A110" s="257" t="s">
        <v>571</v>
      </c>
      <c r="B110" s="274">
        <v>1630</v>
      </c>
      <c r="C110" s="58" t="str">
        <f>VLOOKUP(B110,Orgenheter!$A$1:$B$214,2,0)</f>
        <v>Inst för ide- o samhällsstudier</v>
      </c>
    </row>
    <row r="111" spans="1:3" ht="12.95" customHeight="1" x14ac:dyDescent="0.25">
      <c r="A111" s="257" t="s">
        <v>667</v>
      </c>
      <c r="B111" s="274">
        <v>2180</v>
      </c>
      <c r="C111" s="58" t="str">
        <f>VLOOKUP(B111,Orgenheter!$A$1:$B$214,2,0)</f>
        <v xml:space="preserve">Pedagogik                     </v>
      </c>
    </row>
    <row r="112" spans="1:3" ht="15.75" x14ac:dyDescent="0.25">
      <c r="A112" s="257" t="s">
        <v>695</v>
      </c>
      <c r="B112" s="241">
        <v>2180</v>
      </c>
      <c r="C112" s="58" t="str">
        <f>VLOOKUP(B112,Orgenheter!$A$1:$B$214,2,0)</f>
        <v xml:space="preserve">Pedagogik                     </v>
      </c>
    </row>
    <row r="113" spans="1:3" ht="15.75" x14ac:dyDescent="0.25">
      <c r="A113" s="257" t="s">
        <v>712</v>
      </c>
      <c r="B113" s="340">
        <v>2180</v>
      </c>
      <c r="C113" s="58" t="str">
        <f>VLOOKUP(B113,Orgenheter!$A$1:$B$214,2,0)</f>
        <v xml:space="preserve">Pedagogik                     </v>
      </c>
    </row>
    <row r="114" spans="1:3" ht="15.75" x14ac:dyDescent="0.25">
      <c r="A114" s="257" t="s">
        <v>399</v>
      </c>
      <c r="B114" s="274">
        <v>2180</v>
      </c>
      <c r="C114" s="58" t="str">
        <f>VLOOKUP(B114,Orgenheter!$A$1:$B$214,2,0)</f>
        <v xml:space="preserve">Pedagogik                     </v>
      </c>
    </row>
    <row r="115" spans="1:3" ht="15.75" x14ac:dyDescent="0.25">
      <c r="A115" s="257" t="s">
        <v>743</v>
      </c>
      <c r="B115" s="340">
        <v>2180</v>
      </c>
      <c r="C115" s="58" t="str">
        <f>VLOOKUP(B115,Orgenheter!$A$1:$B$214,2,0)</f>
        <v xml:space="preserve">Pedagogik                     </v>
      </c>
    </row>
    <row r="116" spans="1:3" ht="15.75" x14ac:dyDescent="0.25">
      <c r="A116" s="257" t="s">
        <v>865</v>
      </c>
      <c r="B116" s="340">
        <v>5740</v>
      </c>
      <c r="C116" s="58" t="str">
        <f>VLOOKUP(B116,Orgenheter!$A$1:$B$214,2,0)</f>
        <v>NMD</v>
      </c>
    </row>
    <row r="117" spans="1:3" ht="15.75" x14ac:dyDescent="0.25">
      <c r="A117" s="257" t="s">
        <v>614</v>
      </c>
      <c r="B117" s="274">
        <v>5740</v>
      </c>
      <c r="C117" s="58" t="str">
        <f>VLOOKUP(B117,Orgenheter!$A$1:$B$214,2,0)</f>
        <v>NMD</v>
      </c>
    </row>
    <row r="118" spans="1:3" ht="15.75" x14ac:dyDescent="0.25">
      <c r="A118" s="257" t="s">
        <v>615</v>
      </c>
      <c r="B118" s="274">
        <v>5740</v>
      </c>
      <c r="C118" s="58" t="str">
        <f>VLOOKUP(B118,Orgenheter!$A$1:$B$214,2,0)</f>
        <v>NMD</v>
      </c>
    </row>
    <row r="119" spans="1:3" x14ac:dyDescent="0.25">
      <c r="A119" s="256" t="s">
        <v>384</v>
      </c>
      <c r="B119" s="272">
        <v>2650</v>
      </c>
      <c r="C119" s="58" t="str">
        <f>VLOOKUP(B119,Orgenheter!$A$1:$B$214,2,0)</f>
        <v xml:space="preserve">Kostvetenskap                 </v>
      </c>
    </row>
    <row r="120" spans="1:3" x14ac:dyDescent="0.25">
      <c r="A120" s="256" t="s">
        <v>413</v>
      </c>
      <c r="B120" s="272">
        <v>2650</v>
      </c>
      <c r="C120" s="58" t="str">
        <f>VLOOKUP(B120,Orgenheter!$A$1:$B$214,2,0)</f>
        <v xml:space="preserve">Kostvetenskap                 </v>
      </c>
    </row>
    <row r="121" spans="1:3" x14ac:dyDescent="0.25">
      <c r="A121" s="256" t="s">
        <v>795</v>
      </c>
      <c r="B121" s="338">
        <v>2650</v>
      </c>
      <c r="C121" s="58" t="str">
        <f>VLOOKUP(B121,Orgenheter!$A$1:$B$214,2,0)</f>
        <v xml:space="preserve">Kostvetenskap                 </v>
      </c>
    </row>
    <row r="122" spans="1:3" x14ac:dyDescent="0.25">
      <c r="A122" s="256" t="s">
        <v>744</v>
      </c>
      <c r="B122" s="338">
        <v>2650</v>
      </c>
      <c r="C122" s="58" t="str">
        <f>VLOOKUP(B122,Orgenheter!$A$1:$B$214,2,0)</f>
        <v xml:space="preserve">Kostvetenskap                 </v>
      </c>
    </row>
    <row r="123" spans="1:3" x14ac:dyDescent="0.25">
      <c r="A123" s="256" t="s">
        <v>508</v>
      </c>
      <c r="B123" s="272">
        <v>2650</v>
      </c>
      <c r="C123" s="58" t="str">
        <f>VLOOKUP(B123,Orgenheter!$A$1:$B$214,2,0)</f>
        <v xml:space="preserve">Kostvetenskap                 </v>
      </c>
    </row>
    <row r="124" spans="1:3" x14ac:dyDescent="0.25">
      <c r="A124" s="256" t="s">
        <v>778</v>
      </c>
      <c r="B124" s="338">
        <v>2650</v>
      </c>
      <c r="C124" s="58" t="str">
        <f>VLOOKUP(B124,Orgenheter!$A$1:$B$214,2,0)</f>
        <v xml:space="preserve">Kostvetenskap                 </v>
      </c>
    </row>
    <row r="125" spans="1:3" x14ac:dyDescent="0.25">
      <c r="A125" s="305" t="s">
        <v>834</v>
      </c>
      <c r="B125" s="338">
        <v>2650</v>
      </c>
      <c r="C125" s="58" t="str">
        <f>VLOOKUP(B125,Orgenheter!$A$1:$B$214,2,0)</f>
        <v xml:space="preserve">Kostvetenskap                 </v>
      </c>
    </row>
    <row r="126" spans="1:3" x14ac:dyDescent="0.25">
      <c r="A126" s="305" t="s">
        <v>835</v>
      </c>
      <c r="B126" s="338">
        <v>2650</v>
      </c>
      <c r="C126" s="58" t="str">
        <f>VLOOKUP(B126,Orgenheter!$A$1:$B$214,2,0)</f>
        <v xml:space="preserve">Kostvetenskap                 </v>
      </c>
    </row>
    <row r="127" spans="1:3" x14ac:dyDescent="0.25">
      <c r="A127" s="305" t="s">
        <v>922</v>
      </c>
      <c r="B127" s="338">
        <v>2650</v>
      </c>
      <c r="C127" s="58" t="str">
        <f>VLOOKUP(B127,Orgenheter!$A$1:$B$214,2,0)</f>
        <v xml:space="preserve">Kostvetenskap                 </v>
      </c>
    </row>
    <row r="128" spans="1:3" x14ac:dyDescent="0.25">
      <c r="A128" s="305" t="s">
        <v>866</v>
      </c>
      <c r="B128" s="338">
        <v>2650</v>
      </c>
      <c r="C128" s="58" t="str">
        <f>VLOOKUP(B128,Orgenheter!$A$1:$B$214,2,0)</f>
        <v xml:space="preserve">Kostvetenskap                 </v>
      </c>
    </row>
    <row r="129" spans="1:3" x14ac:dyDescent="0.25">
      <c r="A129" s="305" t="s">
        <v>867</v>
      </c>
      <c r="B129" s="338">
        <v>2650</v>
      </c>
      <c r="C129" s="58" t="str">
        <f>VLOOKUP(B129,Orgenheter!$A$1:$B$214,2,0)</f>
        <v xml:space="preserve">Kostvetenskap                 </v>
      </c>
    </row>
    <row r="130" spans="1:3" x14ac:dyDescent="0.25">
      <c r="A130" s="305" t="s">
        <v>868</v>
      </c>
      <c r="B130" s="338">
        <v>2650</v>
      </c>
      <c r="C130" s="58" t="str">
        <f>VLOOKUP(B130,Orgenheter!$A$1:$B$214,2,0)</f>
        <v xml:space="preserve">Kostvetenskap                 </v>
      </c>
    </row>
    <row r="131" spans="1:3" x14ac:dyDescent="0.25">
      <c r="A131" s="305" t="s">
        <v>869</v>
      </c>
      <c r="B131" s="338">
        <v>1650</v>
      </c>
      <c r="C131" s="58" t="str">
        <f>VLOOKUP(B131,Orgenheter!$A$1:$B$214,2,0)</f>
        <v xml:space="preserve">Estetiska ämnen               </v>
      </c>
    </row>
    <row r="132" spans="1:3" x14ac:dyDescent="0.25">
      <c r="A132" s="256" t="s">
        <v>806</v>
      </c>
      <c r="B132" s="338">
        <v>1630</v>
      </c>
      <c r="C132" s="58" t="str">
        <f>VLOOKUP(B132,Orgenheter!$A$1:$B$214,2,0)</f>
        <v>Inst för ide- o samhällsstudier</v>
      </c>
    </row>
    <row r="133" spans="1:3" x14ac:dyDescent="0.25">
      <c r="A133" s="256" t="s">
        <v>498</v>
      </c>
      <c r="B133" s="272">
        <v>1640</v>
      </c>
      <c r="C133" s="58" t="str">
        <f>VLOOKUP(B133,Orgenheter!$A$1:$B$214,2,0)</f>
        <v>Inst för kultur- o medievetenskap</v>
      </c>
    </row>
    <row r="134" spans="1:3" x14ac:dyDescent="0.25">
      <c r="A134" s="256" t="s">
        <v>745</v>
      </c>
      <c r="B134" s="272">
        <v>1640</v>
      </c>
      <c r="C134" s="58" t="str">
        <f>VLOOKUP(B134,Orgenheter!$A$1:$B$214,2,0)</f>
        <v>Inst för kultur- o medievetenskap</v>
      </c>
    </row>
    <row r="135" spans="1:3" x14ac:dyDescent="0.25">
      <c r="A135" s="256" t="s">
        <v>616</v>
      </c>
      <c r="B135" s="272">
        <v>1620</v>
      </c>
      <c r="C135" s="58" t="str">
        <f>VLOOKUP(B135,Orgenheter!$A$1:$B$214,2,0)</f>
        <v>Inst för språkstudier</v>
      </c>
    </row>
    <row r="136" spans="1:3" x14ac:dyDescent="0.25">
      <c r="A136" s="205" t="s">
        <v>471</v>
      </c>
      <c r="B136" s="220">
        <v>1620</v>
      </c>
      <c r="C136" s="58" t="str">
        <f>VLOOKUP(B136,Orgenheter!$A$1:$B$214,2,0)</f>
        <v>Inst för språkstudier</v>
      </c>
    </row>
    <row r="137" spans="1:3" x14ac:dyDescent="0.25">
      <c r="A137" s="162" t="s">
        <v>642</v>
      </c>
      <c r="B137" s="272">
        <v>1620</v>
      </c>
      <c r="C137" s="58" t="str">
        <f>VLOOKUP(B137,Orgenheter!$A$1:$B$214,2,0)</f>
        <v>Inst för språkstudier</v>
      </c>
    </row>
    <row r="138" spans="1:3" x14ac:dyDescent="0.25">
      <c r="A138" s="162" t="s">
        <v>617</v>
      </c>
      <c r="B138" s="272">
        <v>1620</v>
      </c>
      <c r="C138" s="58" t="str">
        <f>VLOOKUP(B138,Orgenheter!$A$1:$B$214,2,0)</f>
        <v>Inst för språkstudier</v>
      </c>
    </row>
    <row r="139" spans="1:3" x14ac:dyDescent="0.25">
      <c r="A139" s="185" t="s">
        <v>592</v>
      </c>
      <c r="B139" s="272">
        <v>5730</v>
      </c>
      <c r="C139" s="58" t="str">
        <f>VLOOKUP(B139,Orgenheter!$A$1:$B$214,2,0)</f>
        <v>Inst för MA och MA statistik</v>
      </c>
    </row>
    <row r="140" spans="1:3" x14ac:dyDescent="0.25">
      <c r="A140" s="185" t="s">
        <v>618</v>
      </c>
      <c r="B140" s="272">
        <v>5730</v>
      </c>
      <c r="C140" s="58" t="str">
        <f>VLOOKUP(B140,Orgenheter!$A$1:$B$214,2,0)</f>
        <v>Inst för MA och MA statistik</v>
      </c>
    </row>
    <row r="141" spans="1:3" x14ac:dyDescent="0.25">
      <c r="A141" s="185" t="s">
        <v>619</v>
      </c>
      <c r="B141" s="272">
        <v>5730</v>
      </c>
      <c r="C141" s="58" t="str">
        <f>VLOOKUP(B141,Orgenheter!$A$1:$B$214,2,0)</f>
        <v>Inst för MA och MA statistik</v>
      </c>
    </row>
    <row r="142" spans="1:3" x14ac:dyDescent="0.25">
      <c r="A142" s="185" t="s">
        <v>713</v>
      </c>
      <c r="B142" s="338">
        <v>5730</v>
      </c>
      <c r="C142" s="58" t="str">
        <f>VLOOKUP(B142,Orgenheter!$A$1:$B$214,2,0)</f>
        <v>Inst för MA och MA statistik</v>
      </c>
    </row>
    <row r="143" spans="1:3" x14ac:dyDescent="0.25">
      <c r="A143" s="185" t="s">
        <v>779</v>
      </c>
      <c r="B143" s="338">
        <v>5730</v>
      </c>
      <c r="C143" s="58" t="str">
        <f>VLOOKUP(B143,Orgenheter!$A$1:$B$214,2,0)</f>
        <v>Inst för MA och MA statistik</v>
      </c>
    </row>
    <row r="144" spans="1:3" x14ac:dyDescent="0.25">
      <c r="A144" s="185" t="s">
        <v>780</v>
      </c>
      <c r="B144" s="338">
        <v>5730</v>
      </c>
      <c r="C144" s="58" t="str">
        <f>VLOOKUP(B144,Orgenheter!$A$1:$B$214,2,0)</f>
        <v>Inst för MA och MA statistik</v>
      </c>
    </row>
    <row r="145" spans="1:3" x14ac:dyDescent="0.25">
      <c r="A145" s="185" t="s">
        <v>781</v>
      </c>
      <c r="B145" s="338">
        <v>5730</v>
      </c>
      <c r="C145" s="58" t="str">
        <f>VLOOKUP(B145,Orgenheter!$A$1:$B$214,2,0)</f>
        <v>Inst för MA och MA statistik</v>
      </c>
    </row>
    <row r="146" spans="1:3" x14ac:dyDescent="0.25">
      <c r="A146" s="185" t="s">
        <v>782</v>
      </c>
      <c r="B146" s="338">
        <v>5730</v>
      </c>
      <c r="C146" s="58" t="str">
        <f>VLOOKUP(B146,Orgenheter!$A$1:$B$214,2,0)</f>
        <v>Inst för MA och MA statistik</v>
      </c>
    </row>
    <row r="147" spans="1:3" x14ac:dyDescent="0.25">
      <c r="A147" s="185" t="s">
        <v>783</v>
      </c>
      <c r="B147" s="338">
        <v>5730</v>
      </c>
      <c r="C147" s="58" t="str">
        <f>VLOOKUP(B147,Orgenheter!$A$1:$B$214,2,0)</f>
        <v>Inst för MA och MA statistik</v>
      </c>
    </row>
    <row r="148" spans="1:3" x14ac:dyDescent="0.25">
      <c r="A148" s="185" t="s">
        <v>870</v>
      </c>
      <c r="B148" s="338">
        <v>5730</v>
      </c>
      <c r="C148" s="58" t="str">
        <f>VLOOKUP(B148,Orgenheter!$A$1:$B$214,2,0)</f>
        <v>Inst för MA och MA statistik</v>
      </c>
    </row>
    <row r="149" spans="1:3" x14ac:dyDescent="0.25">
      <c r="A149" s="185" t="s">
        <v>784</v>
      </c>
      <c r="B149" s="338">
        <v>5730</v>
      </c>
      <c r="C149" s="58" t="str">
        <f>VLOOKUP(B149,Orgenheter!$A$1:$B$214,2,0)</f>
        <v>Inst för MA och MA statistik</v>
      </c>
    </row>
    <row r="150" spans="1:3" x14ac:dyDescent="0.25">
      <c r="A150" s="185" t="s">
        <v>746</v>
      </c>
      <c r="B150" s="338">
        <v>5730</v>
      </c>
      <c r="C150" s="58" t="str">
        <f>VLOOKUP(B150,Orgenheter!$A$1:$B$214,2,0)</f>
        <v>Inst för MA och MA statistik</v>
      </c>
    </row>
    <row r="151" spans="1:3" x14ac:dyDescent="0.25">
      <c r="A151" s="185" t="s">
        <v>714</v>
      </c>
      <c r="B151" s="338">
        <v>5730</v>
      </c>
      <c r="C151" s="58" t="str">
        <f>VLOOKUP(B151,Orgenheter!$A$1:$B$214,2,0)</f>
        <v>Inst för MA och MA statistik</v>
      </c>
    </row>
    <row r="152" spans="1:3" ht="12.95" customHeight="1" x14ac:dyDescent="0.25">
      <c r="A152" s="256" t="s">
        <v>414</v>
      </c>
      <c r="B152" s="227">
        <v>5740</v>
      </c>
      <c r="C152" s="58" t="str">
        <f>VLOOKUP(B152,Orgenheter!$A$1:$B$214,2,0)</f>
        <v>NMD</v>
      </c>
    </row>
    <row r="153" spans="1:3" x14ac:dyDescent="0.25">
      <c r="A153" s="238" t="s">
        <v>415</v>
      </c>
      <c r="B153" s="272">
        <v>5740</v>
      </c>
      <c r="C153" s="58" t="str">
        <f>VLOOKUP(B153,Orgenheter!$A$1:$B$214,2,0)</f>
        <v>NMD</v>
      </c>
    </row>
    <row r="154" spans="1:3" x14ac:dyDescent="0.25">
      <c r="A154" s="238" t="s">
        <v>416</v>
      </c>
      <c r="B154" s="272">
        <v>5740</v>
      </c>
      <c r="C154" s="58" t="str">
        <f>VLOOKUP(B154,Orgenheter!$A$1:$B$214,2,0)</f>
        <v>NMD</v>
      </c>
    </row>
    <row r="155" spans="1:3" x14ac:dyDescent="0.25">
      <c r="A155" s="238" t="s">
        <v>836</v>
      </c>
      <c r="B155" s="295">
        <v>5740</v>
      </c>
      <c r="C155" s="58" t="str">
        <f>VLOOKUP(B155,Orgenheter!$A$1:$B$214,2,0)</f>
        <v>NMD</v>
      </c>
    </row>
    <row r="156" spans="1:3" x14ac:dyDescent="0.25">
      <c r="A156" s="238" t="s">
        <v>923</v>
      </c>
      <c r="B156" s="295">
        <v>5740</v>
      </c>
      <c r="C156" s="58" t="str">
        <f>VLOOKUP(B156,Orgenheter!$A$1:$B$214,2,0)</f>
        <v>NMD</v>
      </c>
    </row>
    <row r="157" spans="1:3" x14ac:dyDescent="0.25">
      <c r="A157" s="238" t="s">
        <v>572</v>
      </c>
      <c r="B157" s="295">
        <v>5740</v>
      </c>
      <c r="C157" s="58" t="str">
        <f>VLOOKUP(B157,Orgenheter!$A$1:$B$214,2,0)</f>
        <v>NMD</v>
      </c>
    </row>
    <row r="158" spans="1:3" x14ac:dyDescent="0.25">
      <c r="A158" s="238" t="s">
        <v>573</v>
      </c>
      <c r="B158" s="295">
        <v>5740</v>
      </c>
      <c r="C158" s="58" t="str">
        <f>VLOOKUP(B158,Orgenheter!$A$1:$B$214,2,0)</f>
        <v>NMD</v>
      </c>
    </row>
    <row r="159" spans="1:3" x14ac:dyDescent="0.25">
      <c r="A159" s="238" t="s">
        <v>620</v>
      </c>
      <c r="B159" s="295">
        <v>5740</v>
      </c>
      <c r="C159" s="58" t="str">
        <f>VLOOKUP(B159,Orgenheter!$A$1:$B$214,2,0)</f>
        <v>NMD</v>
      </c>
    </row>
    <row r="160" spans="1:3" x14ac:dyDescent="0.25">
      <c r="A160" s="238" t="s">
        <v>871</v>
      </c>
      <c r="B160" s="295">
        <v>5740</v>
      </c>
      <c r="C160" s="58" t="str">
        <f>VLOOKUP(B160,Orgenheter!$A$1:$B$214,2,0)</f>
        <v>NMD</v>
      </c>
    </row>
    <row r="161" spans="1:10" x14ac:dyDescent="0.25">
      <c r="A161" s="238" t="s">
        <v>679</v>
      </c>
      <c r="B161" s="295">
        <v>5730</v>
      </c>
      <c r="C161" s="58" t="str">
        <f>VLOOKUP(B161,Orgenheter!$A$1:$B$214,2,0)</f>
        <v>Inst för MA och MA statistik</v>
      </c>
    </row>
    <row r="162" spans="1:10" x14ac:dyDescent="0.25">
      <c r="A162" s="238" t="s">
        <v>747</v>
      </c>
      <c r="B162" s="295">
        <v>5730</v>
      </c>
      <c r="C162" s="58" t="str">
        <f>VLOOKUP(B162,Orgenheter!$A$1:$B$214,2,0)</f>
        <v>Inst för MA och MA statistik</v>
      </c>
    </row>
    <row r="163" spans="1:10" x14ac:dyDescent="0.25">
      <c r="A163" s="22" t="s">
        <v>325</v>
      </c>
      <c r="B163" s="9">
        <v>1650</v>
      </c>
      <c r="C163" s="58" t="str">
        <f>VLOOKUP(B163,Orgenheter!$A$1:$B$214,2,0)</f>
        <v xml:space="preserve">Estetiska ämnen               </v>
      </c>
    </row>
    <row r="164" spans="1:10" ht="12.95" customHeight="1" x14ac:dyDescent="0.25">
      <c r="A164" s="22" t="s">
        <v>373</v>
      </c>
      <c r="B164" s="9">
        <v>1650</v>
      </c>
      <c r="C164" s="58" t="str">
        <f>VLOOKUP(B164,Orgenheter!$A$1:$B$214,2,0)</f>
        <v xml:space="preserve">Estetiska ämnen               </v>
      </c>
    </row>
    <row r="165" spans="1:10" x14ac:dyDescent="0.25">
      <c r="A165" s="254" t="s">
        <v>381</v>
      </c>
      <c r="B165" s="162">
        <v>1650</v>
      </c>
      <c r="C165" s="58" t="str">
        <f>VLOOKUP(B165,Orgenheter!$A$1:$B$214,2,0)</f>
        <v xml:space="preserve">Estetiska ämnen               </v>
      </c>
    </row>
    <row r="166" spans="1:10" ht="12.95" customHeight="1" x14ac:dyDescent="0.25">
      <c r="A166" s="9" t="s">
        <v>396</v>
      </c>
      <c r="B166" s="162">
        <v>1650</v>
      </c>
      <c r="C166" s="58" t="str">
        <f>VLOOKUP(B166,Orgenheter!$A$1:$B$214,2,0)</f>
        <v xml:space="preserve">Estetiska ämnen               </v>
      </c>
    </row>
    <row r="167" spans="1:10" ht="12.95" customHeight="1" x14ac:dyDescent="0.25">
      <c r="A167" s="256" t="s">
        <v>410</v>
      </c>
      <c r="B167" s="9">
        <v>1650</v>
      </c>
      <c r="C167" s="58" t="str">
        <f>VLOOKUP(B167,Orgenheter!$A$1:$B$214,2,0)</f>
        <v xml:space="preserve">Estetiska ämnen               </v>
      </c>
    </row>
    <row r="168" spans="1:10" ht="12.95" customHeight="1" x14ac:dyDescent="0.25">
      <c r="A168" s="256" t="s">
        <v>837</v>
      </c>
      <c r="B168" s="9">
        <v>1650</v>
      </c>
      <c r="C168" s="58" t="str">
        <f>VLOOKUP(B168,Orgenheter!$A$1:$B$214,2,0)</f>
        <v xml:space="preserve">Estetiska ämnen               </v>
      </c>
    </row>
    <row r="169" spans="1:10" ht="12.95" customHeight="1" x14ac:dyDescent="0.25">
      <c r="A169" s="256" t="s">
        <v>816</v>
      </c>
      <c r="B169" s="9">
        <v>1650</v>
      </c>
      <c r="C169" s="58" t="str">
        <f>VLOOKUP(B169,Orgenheter!$A$1:$B$214,2,0)</f>
        <v xml:space="preserve">Estetiska ämnen               </v>
      </c>
      <c r="J169" t="s">
        <v>818</v>
      </c>
    </row>
    <row r="170" spans="1:10" ht="12.95" customHeight="1" x14ac:dyDescent="0.25">
      <c r="A170" s="256" t="s">
        <v>817</v>
      </c>
      <c r="B170" s="9">
        <v>1650</v>
      </c>
      <c r="C170" s="58" t="str">
        <f>VLOOKUP(B170,Orgenheter!$A$1:$B$214,2,0)</f>
        <v xml:space="preserve">Estetiska ämnen               </v>
      </c>
      <c r="J170" t="s">
        <v>818</v>
      </c>
    </row>
    <row r="171" spans="1:10" ht="12.95" customHeight="1" x14ac:dyDescent="0.25">
      <c r="A171" s="256" t="s">
        <v>680</v>
      </c>
      <c r="B171" s="9">
        <v>5740</v>
      </c>
      <c r="C171" s="58" t="str">
        <f>VLOOKUP(B171,Orgenheter!$A$1:$B$214,2,0)</f>
        <v>NMD</v>
      </c>
    </row>
    <row r="172" spans="1:10" ht="12.95" customHeight="1" x14ac:dyDescent="0.25">
      <c r="A172" s="256" t="s">
        <v>578</v>
      </c>
      <c r="B172" s="9">
        <v>2180</v>
      </c>
      <c r="C172" s="58" t="str">
        <f>VLOOKUP(B172,Orgenheter!$A$1:$B$214,2,0)</f>
        <v xml:space="preserve">Pedagogik                     </v>
      </c>
    </row>
    <row r="173" spans="1:10" ht="12.95" customHeight="1" x14ac:dyDescent="0.25">
      <c r="A173" s="256" t="s">
        <v>872</v>
      </c>
      <c r="B173" s="9">
        <v>2193</v>
      </c>
      <c r="C173" s="58" t="str">
        <f>VLOOKUP(B173,Orgenheter!$A$1:$B$214,2,0)</f>
        <v xml:space="preserve">TUV </v>
      </c>
    </row>
    <row r="174" spans="1:10" ht="12.95" customHeight="1" x14ac:dyDescent="0.25">
      <c r="A174" s="256" t="s">
        <v>621</v>
      </c>
      <c r="B174" s="9">
        <v>5740</v>
      </c>
      <c r="C174" s="58" t="str">
        <f>VLOOKUP(B174,Orgenheter!$A$1:$B$214,2,0)</f>
        <v>NMD</v>
      </c>
    </row>
    <row r="175" spans="1:10" ht="12.95" customHeight="1" x14ac:dyDescent="0.25">
      <c r="A175" s="257" t="s">
        <v>532</v>
      </c>
      <c r="B175" s="221">
        <v>2193</v>
      </c>
      <c r="C175" s="58" t="str">
        <f>VLOOKUP(B175,Orgenheter!$A$1:$B$214,2,0)</f>
        <v xml:space="preserve">TUV </v>
      </c>
    </row>
    <row r="176" spans="1:10" ht="12.95" customHeight="1" x14ac:dyDescent="0.25">
      <c r="A176" s="257" t="s">
        <v>533</v>
      </c>
      <c r="B176" s="221">
        <v>2193</v>
      </c>
      <c r="C176" s="58" t="str">
        <f>VLOOKUP(B176,Orgenheter!$A$1:$B$214,2,0)</f>
        <v xml:space="preserve">TUV </v>
      </c>
    </row>
    <row r="177" spans="1:3" ht="12.95" customHeight="1" x14ac:dyDescent="0.25">
      <c r="A177" s="257" t="s">
        <v>534</v>
      </c>
      <c r="B177" s="221">
        <v>2193</v>
      </c>
      <c r="C177" s="58" t="str">
        <f>VLOOKUP(B177,Orgenheter!$A$1:$B$214,2,0)</f>
        <v xml:space="preserve">TUV </v>
      </c>
    </row>
    <row r="178" spans="1:3" ht="12.95" customHeight="1" x14ac:dyDescent="0.25">
      <c r="A178" s="257" t="s">
        <v>535</v>
      </c>
      <c r="B178" s="221">
        <v>2180</v>
      </c>
      <c r="C178" s="58" t="str">
        <f>VLOOKUP(B178,Orgenheter!$A$1:$B$214,2,0)</f>
        <v xml:space="preserve">Pedagogik                     </v>
      </c>
    </row>
    <row r="179" spans="1:3" ht="12.95" customHeight="1" x14ac:dyDescent="0.25">
      <c r="A179" s="257" t="s">
        <v>536</v>
      </c>
      <c r="B179" s="221">
        <v>2180</v>
      </c>
      <c r="C179" s="58" t="str">
        <f>VLOOKUP(B179,Orgenheter!$A$1:$B$214,2,0)</f>
        <v xml:space="preserve">Pedagogik                     </v>
      </c>
    </row>
    <row r="180" spans="1:3" ht="12.95" customHeight="1" x14ac:dyDescent="0.25">
      <c r="A180" s="257" t="s">
        <v>542</v>
      </c>
      <c r="B180" s="221">
        <v>2180</v>
      </c>
      <c r="C180" s="58" t="str">
        <f>VLOOKUP(B180,Orgenheter!$A$1:$B$214,2,0)</f>
        <v xml:space="preserve">Pedagogik                     </v>
      </c>
    </row>
    <row r="181" spans="1:3" ht="12.95" customHeight="1" x14ac:dyDescent="0.25">
      <c r="A181" s="257" t="s">
        <v>681</v>
      </c>
      <c r="B181" s="221">
        <v>5740</v>
      </c>
      <c r="C181" s="58" t="str">
        <f>VLOOKUP(B181,Orgenheter!$A$1:$B$214,2,0)</f>
        <v>NMD</v>
      </c>
    </row>
    <row r="182" spans="1:3" ht="12.95" customHeight="1" x14ac:dyDescent="0.25">
      <c r="A182" s="257" t="s">
        <v>785</v>
      </c>
      <c r="B182" s="221">
        <v>5740</v>
      </c>
      <c r="C182" s="58" t="str">
        <f>VLOOKUP(B182,Orgenheter!$A$1:$B$214,2,0)</f>
        <v>NMD</v>
      </c>
    </row>
    <row r="183" spans="1:3" ht="12.95" customHeight="1" x14ac:dyDescent="0.25">
      <c r="A183" s="257" t="s">
        <v>786</v>
      </c>
      <c r="B183" s="221">
        <v>5740</v>
      </c>
      <c r="C183" s="58" t="str">
        <f>VLOOKUP(B183,Orgenheter!$A$1:$B$214,2,0)</f>
        <v>NMD</v>
      </c>
    </row>
    <row r="184" spans="1:3" ht="12.95" customHeight="1" x14ac:dyDescent="0.25">
      <c r="A184" s="257" t="s">
        <v>653</v>
      </c>
      <c r="B184" s="221">
        <v>2193</v>
      </c>
      <c r="C184" s="58" t="str">
        <f>VLOOKUP(B184,Orgenheter!$A$1:$B$214,2,0)</f>
        <v xml:space="preserve">TUV </v>
      </c>
    </row>
    <row r="185" spans="1:3" ht="12.95" customHeight="1" x14ac:dyDescent="0.25">
      <c r="A185" s="257" t="s">
        <v>654</v>
      </c>
      <c r="B185" s="221">
        <v>2193</v>
      </c>
      <c r="C185" s="58" t="str">
        <f>VLOOKUP(B185,Orgenheter!$A$1:$B$214,2,0)</f>
        <v xml:space="preserve">TUV </v>
      </c>
    </row>
    <row r="186" spans="1:3" ht="12.95" customHeight="1" x14ac:dyDescent="0.25">
      <c r="A186" s="257" t="s">
        <v>873</v>
      </c>
      <c r="B186" s="221">
        <v>2193</v>
      </c>
      <c r="C186" s="58" t="str">
        <f>VLOOKUP(B186,Orgenheter!$A$1:$B$214,2,0)</f>
        <v xml:space="preserve">TUV </v>
      </c>
    </row>
    <row r="187" spans="1:3" ht="12.95" customHeight="1" x14ac:dyDescent="0.25">
      <c r="A187" s="257" t="s">
        <v>915</v>
      </c>
      <c r="B187" s="221">
        <v>1620</v>
      </c>
      <c r="C187" s="58" t="str">
        <f>VLOOKUP(B187,Orgenheter!$A$1:$B$214,2,0)</f>
        <v>Inst för språkstudier</v>
      </c>
    </row>
    <row r="188" spans="1:3" ht="12.95" customHeight="1" x14ac:dyDescent="0.25">
      <c r="A188" s="257" t="s">
        <v>682</v>
      </c>
      <c r="B188" s="221">
        <v>1620</v>
      </c>
      <c r="C188" s="58" t="str">
        <f>VLOOKUP(B188,Orgenheter!$A$1:$B$214,2,0)</f>
        <v>Inst för språkstudier</v>
      </c>
    </row>
    <row r="189" spans="1:3" ht="12.95" customHeight="1" x14ac:dyDescent="0.25">
      <c r="A189" s="257" t="s">
        <v>579</v>
      </c>
      <c r="B189" s="221">
        <v>2340</v>
      </c>
      <c r="C189" s="58" t="str">
        <f>VLOOKUP(B189,Orgenheter!$A$1:$B$214,2,0)</f>
        <v xml:space="preserve">Statsvetenskap                </v>
      </c>
    </row>
    <row r="190" spans="1:3" x14ac:dyDescent="0.25">
      <c r="A190" s="9" t="s">
        <v>107</v>
      </c>
      <c r="B190" s="186">
        <v>1650</v>
      </c>
      <c r="C190" s="58" t="str">
        <f>VLOOKUP(B190,Orgenheter!$A$1:$B$214,2,0)</f>
        <v xml:space="preserve">Estetiska ämnen               </v>
      </c>
    </row>
    <row r="191" spans="1:3" ht="12.95" customHeight="1" x14ac:dyDescent="0.25">
      <c r="A191" s="22" t="s">
        <v>73</v>
      </c>
      <c r="B191" s="186">
        <v>1650</v>
      </c>
      <c r="C191" s="58" t="str">
        <f>VLOOKUP(B191,Orgenheter!$A$1:$B$214,2,0)</f>
        <v xml:space="preserve">Estetiska ämnen               </v>
      </c>
    </row>
    <row r="192" spans="1:3" x14ac:dyDescent="0.25">
      <c r="A192" s="254" t="s">
        <v>382</v>
      </c>
      <c r="B192" s="186">
        <v>1650</v>
      </c>
      <c r="C192" s="58" t="str">
        <f>VLOOKUP(B192,Orgenheter!$A$1:$B$214,2,0)</f>
        <v xml:space="preserve">Estetiska ämnen               </v>
      </c>
    </row>
    <row r="193" spans="1:10" ht="12.95" customHeight="1" x14ac:dyDescent="0.25">
      <c r="A193" s="9" t="s">
        <v>398</v>
      </c>
      <c r="B193" s="186">
        <v>1650</v>
      </c>
      <c r="C193" s="58" t="str">
        <f>VLOOKUP(B193,Orgenheter!$A$1:$B$214,2,0)</f>
        <v xml:space="preserve">Estetiska ämnen               </v>
      </c>
    </row>
    <row r="194" spans="1:10" ht="12.95" customHeight="1" x14ac:dyDescent="0.25">
      <c r="A194" s="256" t="s">
        <v>411</v>
      </c>
      <c r="B194" s="186">
        <v>1650</v>
      </c>
      <c r="C194" s="58" t="str">
        <f>VLOOKUP(B194,Orgenheter!$A$1:$B$214,2,0)</f>
        <v xml:space="preserve">Estetiska ämnen               </v>
      </c>
    </row>
    <row r="195" spans="1:10" ht="12.95" customHeight="1" x14ac:dyDescent="0.25">
      <c r="A195" s="256" t="s">
        <v>748</v>
      </c>
      <c r="B195" s="186">
        <v>1650</v>
      </c>
      <c r="C195" s="58" t="str">
        <f>VLOOKUP(B195,Orgenheter!$A$1:$B$214,2,0)</f>
        <v xml:space="preserve">Estetiska ämnen               </v>
      </c>
    </row>
    <row r="196" spans="1:10" ht="12.95" customHeight="1" x14ac:dyDescent="0.25">
      <c r="A196" s="256" t="s">
        <v>574</v>
      </c>
      <c r="B196" s="186">
        <v>1650</v>
      </c>
      <c r="C196" s="58" t="str">
        <f>VLOOKUP(B196,Orgenheter!$A$1:$B$214,2,0)</f>
        <v xml:space="preserve">Estetiska ämnen               </v>
      </c>
    </row>
    <row r="197" spans="1:10" ht="12.95" customHeight="1" x14ac:dyDescent="0.25">
      <c r="A197" s="305" t="s">
        <v>655</v>
      </c>
      <c r="B197" s="186">
        <v>1650</v>
      </c>
      <c r="C197" s="58" t="str">
        <f>VLOOKUP(B197,Orgenheter!$A$1:$B$214,2,0)</f>
        <v xml:space="preserve">Estetiska ämnen               </v>
      </c>
    </row>
    <row r="198" spans="1:10" ht="12.95" customHeight="1" x14ac:dyDescent="0.25">
      <c r="A198" s="256" t="s">
        <v>622</v>
      </c>
      <c r="B198" s="186">
        <v>1620</v>
      </c>
      <c r="C198" s="58" t="str">
        <f>VLOOKUP(B198,Orgenheter!$A$1:$B$214,2,0)</f>
        <v>Inst för språkstudier</v>
      </c>
    </row>
    <row r="199" spans="1:10" ht="12.95" customHeight="1" x14ac:dyDescent="0.25">
      <c r="A199" s="257" t="s">
        <v>379</v>
      </c>
      <c r="B199" s="184">
        <v>1620</v>
      </c>
      <c r="C199" s="58" t="str">
        <f>VLOOKUP(B199,Orgenheter!$A$1:$B$214,2,0)</f>
        <v>Inst för språkstudier</v>
      </c>
    </row>
    <row r="200" spans="1:10" ht="12.95" customHeight="1" x14ac:dyDescent="0.25">
      <c r="A200" s="257" t="s">
        <v>749</v>
      </c>
      <c r="B200" s="221">
        <v>1620</v>
      </c>
      <c r="C200" s="58" t="str">
        <f>VLOOKUP(B200,Orgenheter!$A$1:$B$214,2,0)</f>
        <v>Inst för språkstudier</v>
      </c>
    </row>
    <row r="201" spans="1:10" ht="12.95" customHeight="1" x14ac:dyDescent="0.25">
      <c r="A201" s="257" t="s">
        <v>715</v>
      </c>
      <c r="B201" s="221">
        <v>1620</v>
      </c>
      <c r="C201" s="58" t="str">
        <f>VLOOKUP(B201,Orgenheter!$A$1:$B$214,2,0)</f>
        <v>Inst för språkstudier</v>
      </c>
    </row>
    <row r="202" spans="1:10" ht="12.95" customHeight="1" x14ac:dyDescent="0.25">
      <c r="A202" s="257" t="s">
        <v>814</v>
      </c>
      <c r="B202" s="221">
        <v>1620</v>
      </c>
      <c r="C202" s="58" t="str">
        <f>VLOOKUP(B202,Orgenheter!$A$1:$B$214,2,0)</f>
        <v>Inst för språkstudier</v>
      </c>
      <c r="J202" t="s">
        <v>818</v>
      </c>
    </row>
    <row r="203" spans="1:10" ht="12.95" customHeight="1" x14ac:dyDescent="0.25">
      <c r="A203" s="257" t="s">
        <v>815</v>
      </c>
      <c r="B203" s="221">
        <v>1620</v>
      </c>
      <c r="C203" s="58" t="str">
        <f>VLOOKUP(B203,Orgenheter!$A$1:$B$214,2,0)</f>
        <v>Inst för språkstudier</v>
      </c>
      <c r="J203" t="s">
        <v>818</v>
      </c>
    </row>
    <row r="204" spans="1:10" ht="12.95" customHeight="1" x14ac:dyDescent="0.25">
      <c r="A204" s="257" t="s">
        <v>916</v>
      </c>
      <c r="B204" s="221">
        <v>1620</v>
      </c>
      <c r="C204" s="58" t="str">
        <f>VLOOKUP(B204,Orgenheter!$A$1:$B$214,2,0)</f>
        <v>Inst för språkstudier</v>
      </c>
    </row>
    <row r="205" spans="1:10" ht="15" customHeight="1" x14ac:dyDescent="0.25">
      <c r="A205" s="238" t="s">
        <v>77</v>
      </c>
      <c r="B205" s="9">
        <v>1650</v>
      </c>
      <c r="C205" s="58" t="str">
        <f>VLOOKUP(B205,Orgenheter!$A$1:$B$214,2,0)</f>
        <v xml:space="preserve">Estetiska ämnen               </v>
      </c>
    </row>
    <row r="206" spans="1:10" ht="15" customHeight="1" x14ac:dyDescent="0.25">
      <c r="A206" s="9" t="s">
        <v>76</v>
      </c>
      <c r="B206" s="9">
        <v>1650</v>
      </c>
      <c r="C206" s="58" t="str">
        <f>VLOOKUP(B206,Orgenheter!$A$1:$B$214,2,0)</f>
        <v xml:space="preserve">Estetiska ämnen               </v>
      </c>
    </row>
    <row r="207" spans="1:10" ht="15" customHeight="1" x14ac:dyDescent="0.25">
      <c r="A207" s="9" t="s">
        <v>72</v>
      </c>
      <c r="B207" s="9">
        <v>1650</v>
      </c>
      <c r="C207" s="58" t="str">
        <f>VLOOKUP(B207,Orgenheter!$A$1:$B$214,2,0)</f>
        <v xml:space="preserve">Estetiska ämnen               </v>
      </c>
    </row>
    <row r="208" spans="1:10" ht="15" customHeight="1" x14ac:dyDescent="0.25">
      <c r="A208" s="297" t="s">
        <v>593</v>
      </c>
      <c r="B208" s="9">
        <v>1650</v>
      </c>
      <c r="C208" s="58" t="str">
        <f>VLOOKUP(B208,Orgenheter!$A$1:$B$214,2,0)</f>
        <v xml:space="preserve">Estetiska ämnen               </v>
      </c>
    </row>
    <row r="209" spans="1:3" ht="15" customHeight="1" x14ac:dyDescent="0.25">
      <c r="A209" s="37" t="s">
        <v>383</v>
      </c>
      <c r="B209" s="162">
        <v>1650</v>
      </c>
      <c r="C209" s="58" t="str">
        <f>VLOOKUP(B209,Orgenheter!$A$1:$B$214,2,0)</f>
        <v xml:space="preserve">Estetiska ämnen               </v>
      </c>
    </row>
    <row r="210" spans="1:3" ht="15" customHeight="1" x14ac:dyDescent="0.25">
      <c r="A210" s="22" t="s">
        <v>397</v>
      </c>
      <c r="B210" s="162">
        <v>1650</v>
      </c>
      <c r="C210" s="58" t="str">
        <f>VLOOKUP(B210,Orgenheter!$A$1:$B$214,2,0)</f>
        <v xml:space="preserve">Estetiska ämnen               </v>
      </c>
    </row>
    <row r="211" spans="1:3" ht="15" customHeight="1" x14ac:dyDescent="0.25">
      <c r="A211" s="256" t="s">
        <v>412</v>
      </c>
      <c r="B211" s="9">
        <v>1650</v>
      </c>
      <c r="C211" s="58" t="str">
        <f>VLOOKUP(B211,Orgenheter!$A$1:$B$214,2,0)</f>
        <v xml:space="preserve">Estetiska ämnen               </v>
      </c>
    </row>
    <row r="212" spans="1:3" ht="15" customHeight="1" x14ac:dyDescent="0.25">
      <c r="A212" s="239" t="s">
        <v>473</v>
      </c>
      <c r="B212" s="9">
        <v>1650</v>
      </c>
      <c r="C212" s="58" t="str">
        <f>VLOOKUP(B212,Orgenheter!$A$1:$B$214,2,0)</f>
        <v xml:space="preserve">Estetiska ämnen               </v>
      </c>
    </row>
    <row r="213" spans="1:3" ht="15" customHeight="1" x14ac:dyDescent="0.25">
      <c r="A213" s="239" t="s">
        <v>716</v>
      </c>
      <c r="B213" s="9">
        <v>1650</v>
      </c>
      <c r="C213" s="58" t="str">
        <f>VLOOKUP(B213,Orgenheter!$A$1:$B$214,2,0)</f>
        <v xml:space="preserve">Estetiska ämnen               </v>
      </c>
    </row>
    <row r="214" spans="1:3" ht="15" customHeight="1" x14ac:dyDescent="0.25">
      <c r="A214" s="239" t="s">
        <v>683</v>
      </c>
      <c r="B214" s="9">
        <v>1650</v>
      </c>
      <c r="C214" s="58" t="str">
        <f>VLOOKUP(B214,Orgenheter!$A$1:$B$214,2,0)</f>
        <v xml:space="preserve">Estetiska ämnen               </v>
      </c>
    </row>
    <row r="215" spans="1:3" ht="15" customHeight="1" x14ac:dyDescent="0.25">
      <c r="A215" s="239" t="s">
        <v>668</v>
      </c>
      <c r="B215" s="9">
        <v>1650</v>
      </c>
      <c r="C215" s="58" t="str">
        <f>VLOOKUP(B215,Orgenheter!$A$1:$B$214,2,0)</f>
        <v xml:space="preserve">Estetiska ämnen               </v>
      </c>
    </row>
    <row r="216" spans="1:3" ht="15" customHeight="1" x14ac:dyDescent="0.25">
      <c r="A216" s="239" t="s">
        <v>669</v>
      </c>
      <c r="B216" s="9">
        <v>1650</v>
      </c>
      <c r="C216" s="58" t="str">
        <f>VLOOKUP(B216,Orgenheter!$A$1:$B$214,2,0)</f>
        <v xml:space="preserve">Estetiska ämnen               </v>
      </c>
    </row>
    <row r="217" spans="1:3" ht="15" customHeight="1" x14ac:dyDescent="0.25">
      <c r="A217" s="239" t="s">
        <v>717</v>
      </c>
      <c r="B217" s="9">
        <v>1650</v>
      </c>
      <c r="C217" s="58" t="str">
        <f>VLOOKUP(B217,Orgenheter!$A$1:$B$214,2,0)</f>
        <v xml:space="preserve">Estetiska ämnen               </v>
      </c>
    </row>
    <row r="218" spans="1:3" ht="15" customHeight="1" x14ac:dyDescent="0.25">
      <c r="A218" s="239" t="s">
        <v>924</v>
      </c>
      <c r="B218" s="9">
        <v>1650</v>
      </c>
      <c r="C218" s="58" t="str">
        <f>VLOOKUP(B218,Orgenheter!$A$1:$B$214,2,0)</f>
        <v xml:space="preserve">Estetiska ämnen               </v>
      </c>
    </row>
    <row r="219" spans="1:3" ht="15" customHeight="1" x14ac:dyDescent="0.25">
      <c r="A219" s="22" t="s">
        <v>61</v>
      </c>
      <c r="B219" s="9">
        <v>2193</v>
      </c>
      <c r="C219" s="58" t="str">
        <f>VLOOKUP(B219,Orgenheter!$A$1:$B$214,2,0)</f>
        <v xml:space="preserve">TUV </v>
      </c>
    </row>
    <row r="220" spans="1:3" ht="15" customHeight="1" x14ac:dyDescent="0.25">
      <c r="C220" s="58">
        <f>VLOOKUP(B220,Orgenheter!$A$1:$B$214,2,0)</f>
        <v>0</v>
      </c>
    </row>
    <row r="221" spans="1:3" ht="15" customHeight="1" x14ac:dyDescent="0.25">
      <c r="C221" s="58">
        <f>VLOOKUP(B221,Orgenheter!$A$1:$B$214,2,0)</f>
        <v>0</v>
      </c>
    </row>
    <row r="222" spans="1:3" ht="15" customHeight="1" x14ac:dyDescent="0.25">
      <c r="C222" s="58">
        <f>VLOOKUP(B222,Orgenheter!$A$1:$B$214,2,0)</f>
        <v>0</v>
      </c>
    </row>
    <row r="223" spans="1:3" ht="15" customHeight="1" x14ac:dyDescent="0.25">
      <c r="C223" s="58">
        <f>VLOOKUP(B223,Orgenheter!$A$1:$B$214,2,0)</f>
        <v>0</v>
      </c>
    </row>
    <row r="224" spans="1:3" ht="15" customHeight="1" x14ac:dyDescent="0.25">
      <c r="C224" s="58">
        <f>VLOOKUP(B224,Orgenheter!$A$1:$B$214,2,0)</f>
        <v>0</v>
      </c>
    </row>
    <row r="225" spans="3:3" ht="15" customHeight="1" x14ac:dyDescent="0.25">
      <c r="C225" s="58">
        <f>VLOOKUP(B225,Orgenheter!$A$1:$B$214,2,0)</f>
        <v>0</v>
      </c>
    </row>
    <row r="226" spans="3:3" ht="15" customHeight="1" x14ac:dyDescent="0.25">
      <c r="C226" s="58">
        <f>VLOOKUP(B226,Orgenheter!$A$1:$B$214,2,0)</f>
        <v>0</v>
      </c>
    </row>
    <row r="227" spans="3:3" ht="15" customHeight="1" x14ac:dyDescent="0.25">
      <c r="C227" s="58">
        <f>VLOOKUP(B227,Orgenheter!$A$1:$B$214,2,0)</f>
        <v>0</v>
      </c>
    </row>
    <row r="228" spans="3:3" ht="15" customHeight="1" x14ac:dyDescent="0.25">
      <c r="C228" s="58">
        <f>VLOOKUP(B228,Orgenheter!$A$1:$B$214,2,0)</f>
        <v>0</v>
      </c>
    </row>
    <row r="229" spans="3:3" ht="15" customHeight="1" x14ac:dyDescent="0.25">
      <c r="C229" s="58">
        <f>VLOOKUP(B229,Orgenheter!$A$1:$B$214,2,0)</f>
        <v>0</v>
      </c>
    </row>
    <row r="230" spans="3:3" ht="15" customHeight="1" x14ac:dyDescent="0.25">
      <c r="C230" s="58">
        <f>VLOOKUP(B230,Orgenheter!$A$1:$B$214,2,0)</f>
        <v>0</v>
      </c>
    </row>
    <row r="231" spans="3:3" ht="15" customHeight="1" x14ac:dyDescent="0.25">
      <c r="C231" s="58">
        <f>VLOOKUP(B231,Orgenheter!$A$1:$B$214,2,0)</f>
        <v>0</v>
      </c>
    </row>
    <row r="232" spans="3:3" ht="15" customHeight="1" x14ac:dyDescent="0.25">
      <c r="C232" s="58">
        <f>VLOOKUP(B232,Orgenheter!$A$1:$B$214,2,0)</f>
        <v>0</v>
      </c>
    </row>
    <row r="233" spans="3:3" ht="15" customHeight="1" x14ac:dyDescent="0.25">
      <c r="C233" s="58">
        <f>VLOOKUP(B233,Orgenheter!$A$1:$B$214,2,0)</f>
        <v>0</v>
      </c>
    </row>
    <row r="234" spans="3:3" ht="15" customHeight="1" x14ac:dyDescent="0.25">
      <c r="C234" s="58">
        <f>VLOOKUP(B234,Orgenheter!$A$1:$B$214,2,0)</f>
        <v>0</v>
      </c>
    </row>
    <row r="235" spans="3:3" ht="15" customHeight="1" x14ac:dyDescent="0.25">
      <c r="C235" s="58">
        <f>VLOOKUP(B235,Orgenheter!$A$1:$B$214,2,0)</f>
        <v>0</v>
      </c>
    </row>
    <row r="236" spans="3:3" ht="15" customHeight="1" x14ac:dyDescent="0.25">
      <c r="C236" s="58">
        <f>VLOOKUP(B236,Orgenheter!$A$1:$B$214,2,0)</f>
        <v>0</v>
      </c>
    </row>
    <row r="237" spans="3:3" ht="15" customHeight="1" x14ac:dyDescent="0.25">
      <c r="C237" s="58">
        <f>VLOOKUP(B237,Orgenheter!$A$1:$B$214,2,0)</f>
        <v>0</v>
      </c>
    </row>
    <row r="238" spans="3:3" ht="15" customHeight="1" x14ac:dyDescent="0.25">
      <c r="C238" s="58">
        <f>VLOOKUP(B238,Orgenheter!$A$1:$B$214,2,0)</f>
        <v>0</v>
      </c>
    </row>
    <row r="239" spans="3:3" ht="15" customHeight="1" x14ac:dyDescent="0.25">
      <c r="C239" s="58">
        <f>VLOOKUP(B239,Orgenheter!$A$1:$B$214,2,0)</f>
        <v>0</v>
      </c>
    </row>
    <row r="240" spans="3:3" ht="15" customHeight="1" x14ac:dyDescent="0.25">
      <c r="C240" s="58">
        <f>VLOOKUP(B240,Orgenheter!$A$1:$B$214,2,0)</f>
        <v>0</v>
      </c>
    </row>
    <row r="241" spans="3:3" ht="15" customHeight="1" x14ac:dyDescent="0.25">
      <c r="C241" s="58">
        <f>VLOOKUP(B241,Orgenheter!$A$1:$B$214,2,0)</f>
        <v>0</v>
      </c>
    </row>
    <row r="242" spans="3:3" ht="15" customHeight="1" x14ac:dyDescent="0.25">
      <c r="C242" s="58">
        <f>VLOOKUP(B242,Orgenheter!$A$1:$B$214,2,0)</f>
        <v>0</v>
      </c>
    </row>
    <row r="243" spans="3:3" ht="15" customHeight="1" x14ac:dyDescent="0.25">
      <c r="C243" s="58">
        <f>VLOOKUP(B243,Orgenheter!$A$1:$B$214,2,0)</f>
        <v>0</v>
      </c>
    </row>
    <row r="244" spans="3:3" ht="15" customHeight="1" x14ac:dyDescent="0.25">
      <c r="C244" s="58">
        <f>VLOOKUP(B244,Orgenheter!$A$1:$B$214,2,0)</f>
        <v>0</v>
      </c>
    </row>
    <row r="245" spans="3:3" ht="15" customHeight="1" x14ac:dyDescent="0.25">
      <c r="C245" s="58">
        <f>VLOOKUP(B245,Orgenheter!$A$1:$B$214,2,0)</f>
        <v>0</v>
      </c>
    </row>
    <row r="246" spans="3:3" ht="15" customHeight="1" x14ac:dyDescent="0.25">
      <c r="C246" s="58">
        <f>VLOOKUP(B246,Orgenheter!$A$1:$B$214,2,0)</f>
        <v>0</v>
      </c>
    </row>
    <row r="247" spans="3:3" ht="15" customHeight="1" x14ac:dyDescent="0.25">
      <c r="C247" s="58">
        <f>VLOOKUP(B247,Orgenheter!$A$1:$B$214,2,0)</f>
        <v>0</v>
      </c>
    </row>
    <row r="248" spans="3:3" ht="15" customHeight="1" x14ac:dyDescent="0.25">
      <c r="C248" s="58">
        <f>VLOOKUP(B248,Orgenheter!$A$1:$B$214,2,0)</f>
        <v>0</v>
      </c>
    </row>
    <row r="249" spans="3:3" ht="15" customHeight="1" x14ac:dyDescent="0.25">
      <c r="C249" s="58">
        <f>VLOOKUP(B249,Orgenheter!$A$1:$B$214,2,0)</f>
        <v>0</v>
      </c>
    </row>
    <row r="250" spans="3:3" ht="15" customHeight="1" x14ac:dyDescent="0.25">
      <c r="C250" s="58">
        <f>VLOOKUP(B250,Orgenheter!$A$1:$B$214,2,0)</f>
        <v>0</v>
      </c>
    </row>
    <row r="251" spans="3:3" ht="15" customHeight="1" x14ac:dyDescent="0.25">
      <c r="C251" s="58">
        <f>VLOOKUP(B251,Orgenheter!$A$1:$B$214,2,0)</f>
        <v>0</v>
      </c>
    </row>
    <row r="252" spans="3:3" ht="15" customHeight="1" x14ac:dyDescent="0.25">
      <c r="C252" s="58">
        <f>VLOOKUP(B252,Orgenheter!$A$1:$B$214,2,0)</f>
        <v>0</v>
      </c>
    </row>
    <row r="253" spans="3:3" ht="15" customHeight="1" x14ac:dyDescent="0.25">
      <c r="C253" s="58">
        <f>VLOOKUP(B253,Orgenheter!$A$1:$B$214,2,0)</f>
        <v>0</v>
      </c>
    </row>
    <row r="254" spans="3:3" ht="15" customHeight="1" x14ac:dyDescent="0.25">
      <c r="C254" s="58">
        <f>VLOOKUP(B254,Orgenheter!$A$1:$B$214,2,0)</f>
        <v>0</v>
      </c>
    </row>
    <row r="255" spans="3:3" ht="15" customHeight="1" x14ac:dyDescent="0.25">
      <c r="C255" s="58">
        <f>VLOOKUP(B255,Orgenheter!$A$1:$B$214,2,0)</f>
        <v>0</v>
      </c>
    </row>
    <row r="256" spans="3:3" ht="15" customHeight="1" x14ac:dyDescent="0.25">
      <c r="C256" s="58">
        <f>VLOOKUP(B256,Orgenheter!$A$1:$B$214,2,0)</f>
        <v>0</v>
      </c>
    </row>
    <row r="257" spans="3:3" ht="15" customHeight="1" x14ac:dyDescent="0.25">
      <c r="C257" s="58">
        <f>VLOOKUP(B257,Orgenheter!$A$1:$B$214,2,0)</f>
        <v>0</v>
      </c>
    </row>
    <row r="258" spans="3:3" ht="15" customHeight="1" x14ac:dyDescent="0.25">
      <c r="C258" s="58">
        <f>VLOOKUP(B258,Orgenheter!$A$1:$B$214,2,0)</f>
        <v>0</v>
      </c>
    </row>
    <row r="259" spans="3:3" ht="15" customHeight="1" x14ac:dyDescent="0.25">
      <c r="C259" s="58">
        <f>VLOOKUP(B259,Orgenheter!$A$1:$B$214,2,0)</f>
        <v>0</v>
      </c>
    </row>
    <row r="260" spans="3:3" ht="15" customHeight="1" x14ac:dyDescent="0.25">
      <c r="C260" s="58">
        <f>VLOOKUP(B260,Orgenheter!$A$1:$B$214,2,0)</f>
        <v>0</v>
      </c>
    </row>
    <row r="261" spans="3:3" ht="15" customHeight="1" x14ac:dyDescent="0.25">
      <c r="C261" s="58">
        <f>VLOOKUP(B261,Orgenheter!$A$1:$B$214,2,0)</f>
        <v>0</v>
      </c>
    </row>
    <row r="262" spans="3:3" ht="15" customHeight="1" x14ac:dyDescent="0.25">
      <c r="C262" s="58">
        <f>VLOOKUP(B262,Orgenheter!$A$1:$B$214,2,0)</f>
        <v>0</v>
      </c>
    </row>
    <row r="263" spans="3:3" ht="15" customHeight="1" x14ac:dyDescent="0.25">
      <c r="C263" s="58">
        <f>VLOOKUP(B263,Orgenheter!$A$1:$B$214,2,0)</f>
        <v>0</v>
      </c>
    </row>
    <row r="264" spans="3:3" ht="15" customHeight="1" x14ac:dyDescent="0.25">
      <c r="C264" s="58">
        <f>VLOOKUP(B264,Orgenheter!$A$1:$B$214,2,0)</f>
        <v>0</v>
      </c>
    </row>
    <row r="265" spans="3:3" ht="15" customHeight="1" x14ac:dyDescent="0.25">
      <c r="C265" s="58">
        <f>VLOOKUP(B265,Orgenheter!$A$1:$B$214,2,0)</f>
        <v>0</v>
      </c>
    </row>
    <row r="266" spans="3:3" ht="15" customHeight="1" x14ac:dyDescent="0.25">
      <c r="C266" s="58">
        <f>VLOOKUP(B266,Orgenheter!$A$1:$B$214,2,0)</f>
        <v>0</v>
      </c>
    </row>
    <row r="267" spans="3:3" ht="15" customHeight="1" x14ac:dyDescent="0.25">
      <c r="C267" s="58">
        <f>VLOOKUP(B267,Orgenheter!$A$1:$B$214,2,0)</f>
        <v>0</v>
      </c>
    </row>
    <row r="268" spans="3:3" ht="15" customHeight="1" x14ac:dyDescent="0.25">
      <c r="C268" s="58">
        <f>VLOOKUP(B268,Orgenheter!$A$1:$B$214,2,0)</f>
        <v>0</v>
      </c>
    </row>
    <row r="269" spans="3:3" ht="15" customHeight="1" x14ac:dyDescent="0.25">
      <c r="C269" s="58">
        <f>VLOOKUP(B269,Orgenheter!$A$1:$B$214,2,0)</f>
        <v>0</v>
      </c>
    </row>
    <row r="270" spans="3:3" ht="15" customHeight="1" x14ac:dyDescent="0.25">
      <c r="C270" s="58">
        <f>VLOOKUP(B270,Orgenheter!$A$1:$B$214,2,0)</f>
        <v>0</v>
      </c>
    </row>
    <row r="271" spans="3:3" ht="15" customHeight="1" x14ac:dyDescent="0.25">
      <c r="C271" s="58">
        <f>VLOOKUP(B271,Orgenheter!$A$1:$B$214,2,0)</f>
        <v>0</v>
      </c>
    </row>
    <row r="272" spans="3:3" ht="15" customHeight="1" x14ac:dyDescent="0.25">
      <c r="C272" s="58">
        <f>VLOOKUP(B272,Orgenheter!$A$1:$B$214,2,0)</f>
        <v>0</v>
      </c>
    </row>
    <row r="273" spans="3:3" ht="15" customHeight="1" x14ac:dyDescent="0.25">
      <c r="C273" s="58">
        <f>VLOOKUP(B273,Orgenheter!$A$1:$B$214,2,0)</f>
        <v>0</v>
      </c>
    </row>
    <row r="274" spans="3:3" ht="15" customHeight="1" x14ac:dyDescent="0.25">
      <c r="C274" s="58">
        <f>VLOOKUP(B274,Orgenheter!$A$1:$B$214,2,0)</f>
        <v>0</v>
      </c>
    </row>
    <row r="275" spans="3:3" ht="15" customHeight="1" x14ac:dyDescent="0.25">
      <c r="C275" s="58">
        <f>VLOOKUP(B275,Orgenheter!$A$1:$B$214,2,0)</f>
        <v>0</v>
      </c>
    </row>
    <row r="276" spans="3:3" ht="15" customHeight="1" x14ac:dyDescent="0.25">
      <c r="C276" s="58">
        <f>VLOOKUP(B276,Orgenheter!$A$1:$B$214,2,0)</f>
        <v>0</v>
      </c>
    </row>
    <row r="277" spans="3:3" ht="15" customHeight="1" x14ac:dyDescent="0.25">
      <c r="C277" s="58">
        <f>VLOOKUP(B277,Orgenheter!$A$1:$B$214,2,0)</f>
        <v>0</v>
      </c>
    </row>
    <row r="278" spans="3:3" ht="15" customHeight="1" x14ac:dyDescent="0.25">
      <c r="C278" s="58">
        <f>VLOOKUP(B278,Orgenheter!$A$1:$B$214,2,0)</f>
        <v>0</v>
      </c>
    </row>
    <row r="279" spans="3:3" ht="15" customHeight="1" x14ac:dyDescent="0.25">
      <c r="C279" s="58">
        <f>VLOOKUP(B279,Orgenheter!$A$1:$B$214,2,0)</f>
        <v>0</v>
      </c>
    </row>
    <row r="280" spans="3:3" ht="15" customHeight="1" x14ac:dyDescent="0.25">
      <c r="C280" s="58">
        <f>VLOOKUP(B280,Orgenheter!$A$1:$B$214,2,0)</f>
        <v>0</v>
      </c>
    </row>
    <row r="281" spans="3:3" ht="15" customHeight="1" x14ac:dyDescent="0.25">
      <c r="C281" s="58">
        <f>VLOOKUP(B281,Orgenheter!$A$1:$B$214,2,0)</f>
        <v>0</v>
      </c>
    </row>
    <row r="282" spans="3:3" ht="15" customHeight="1" x14ac:dyDescent="0.25">
      <c r="C282" s="58">
        <f>VLOOKUP(B282,Orgenheter!$A$1:$B$214,2,0)</f>
        <v>0</v>
      </c>
    </row>
    <row r="283" spans="3:3" ht="15" customHeight="1" x14ac:dyDescent="0.25">
      <c r="C283" s="58">
        <f>VLOOKUP(B283,Orgenheter!$A$1:$B$214,2,0)</f>
        <v>0</v>
      </c>
    </row>
    <row r="284" spans="3:3" ht="15" customHeight="1" x14ac:dyDescent="0.25">
      <c r="C284" s="58">
        <f>VLOOKUP(B284,Orgenheter!$A$1:$B$214,2,0)</f>
        <v>0</v>
      </c>
    </row>
    <row r="285" spans="3:3" ht="15" customHeight="1" x14ac:dyDescent="0.25">
      <c r="C285" s="58">
        <f>VLOOKUP(B285,Orgenheter!$A$1:$B$214,2,0)</f>
        <v>0</v>
      </c>
    </row>
    <row r="286" spans="3:3" ht="15" customHeight="1" x14ac:dyDescent="0.25">
      <c r="C286" s="58">
        <f>VLOOKUP(B286,Orgenheter!$A$1:$B$214,2,0)</f>
        <v>0</v>
      </c>
    </row>
    <row r="287" spans="3:3" ht="15" customHeight="1" x14ac:dyDescent="0.25">
      <c r="C287" s="58">
        <f>VLOOKUP(B287,Orgenheter!$A$1:$B$214,2,0)</f>
        <v>0</v>
      </c>
    </row>
    <row r="288" spans="3:3" ht="15" customHeight="1" x14ac:dyDescent="0.25">
      <c r="C288" s="58">
        <f>VLOOKUP(B288,Orgenheter!$A$1:$B$214,2,0)</f>
        <v>0</v>
      </c>
    </row>
    <row r="289" spans="3:3" ht="15" customHeight="1" x14ac:dyDescent="0.25">
      <c r="C289" s="58">
        <f>VLOOKUP(B289,Orgenheter!$A$1:$B$214,2,0)</f>
        <v>0</v>
      </c>
    </row>
    <row r="290" spans="3:3" ht="15" customHeight="1" x14ac:dyDescent="0.25">
      <c r="C290" s="58">
        <f>VLOOKUP(B290,Orgenheter!$A$1:$B$214,2,0)</f>
        <v>0</v>
      </c>
    </row>
    <row r="291" spans="3:3" ht="15" customHeight="1" x14ac:dyDescent="0.25">
      <c r="C291" s="58">
        <f>VLOOKUP(B291,Orgenheter!$A$1:$B$214,2,0)</f>
        <v>0</v>
      </c>
    </row>
    <row r="292" spans="3:3" ht="15" customHeight="1" x14ac:dyDescent="0.25">
      <c r="C292" s="58">
        <f>VLOOKUP(B292,Orgenheter!$A$1:$B$214,2,0)</f>
        <v>0</v>
      </c>
    </row>
    <row r="293" spans="3:3" ht="15" customHeight="1" x14ac:dyDescent="0.25">
      <c r="C293" s="58">
        <f>VLOOKUP(B293,Orgenheter!$A$1:$B$214,2,0)</f>
        <v>0</v>
      </c>
    </row>
    <row r="294" spans="3:3" ht="15" customHeight="1" x14ac:dyDescent="0.25">
      <c r="C294" s="58">
        <f>VLOOKUP(B294,Orgenheter!$A$1:$B$214,2,0)</f>
        <v>0</v>
      </c>
    </row>
    <row r="295" spans="3:3" ht="15" customHeight="1" x14ac:dyDescent="0.25">
      <c r="C295" s="58">
        <f>VLOOKUP(B295,Orgenheter!$A$1:$B$214,2,0)</f>
        <v>0</v>
      </c>
    </row>
    <row r="296" spans="3:3" ht="15" customHeight="1" x14ac:dyDescent="0.25">
      <c r="C296" s="58">
        <f>VLOOKUP(B296,Orgenheter!$A$1:$B$214,2,0)</f>
        <v>0</v>
      </c>
    </row>
    <row r="297" spans="3:3" ht="15" customHeight="1" x14ac:dyDescent="0.25">
      <c r="C297" s="58">
        <f>VLOOKUP(B297,Orgenheter!$A$1:$B$214,2,0)</f>
        <v>0</v>
      </c>
    </row>
    <row r="298" spans="3:3" ht="15" customHeight="1" x14ac:dyDescent="0.25">
      <c r="C298" s="58">
        <f>VLOOKUP(B298,Orgenheter!$A$1:$B$214,2,0)</f>
        <v>0</v>
      </c>
    </row>
    <row r="299" spans="3:3" ht="15" customHeight="1" x14ac:dyDescent="0.25">
      <c r="C299" s="58">
        <f>VLOOKUP(B299,Orgenheter!$A$1:$B$214,2,0)</f>
        <v>0</v>
      </c>
    </row>
    <row r="300" spans="3:3" ht="15" customHeight="1" x14ac:dyDescent="0.25">
      <c r="C300" s="58">
        <f>VLOOKUP(B300,Orgenheter!$A$1:$B$214,2,0)</f>
        <v>0</v>
      </c>
    </row>
    <row r="301" spans="3:3" ht="15" customHeight="1" x14ac:dyDescent="0.25">
      <c r="C301" s="58">
        <f>VLOOKUP(B301,Orgenheter!$A$1:$B$214,2,0)</f>
        <v>0</v>
      </c>
    </row>
    <row r="302" spans="3:3" ht="15" customHeight="1" x14ac:dyDescent="0.25">
      <c r="C302" s="58">
        <f>VLOOKUP(B302,Orgenheter!$A$1:$B$214,2,0)</f>
        <v>0</v>
      </c>
    </row>
    <row r="303" spans="3:3" ht="15" customHeight="1" x14ac:dyDescent="0.25">
      <c r="C303" s="58">
        <f>VLOOKUP(B303,Orgenheter!$A$1:$B$214,2,0)</f>
        <v>0</v>
      </c>
    </row>
    <row r="304" spans="3:3" ht="15" customHeight="1" x14ac:dyDescent="0.25">
      <c r="C304" s="58">
        <f>VLOOKUP(B304,Orgenheter!$A$1:$B$214,2,0)</f>
        <v>0</v>
      </c>
    </row>
    <row r="305" spans="3:3" ht="15" customHeight="1" x14ac:dyDescent="0.25">
      <c r="C305" s="58">
        <f>VLOOKUP(B305,Orgenheter!$A$1:$B$214,2,0)</f>
        <v>0</v>
      </c>
    </row>
    <row r="306" spans="3:3" ht="15" customHeight="1" x14ac:dyDescent="0.25">
      <c r="C306" s="58">
        <f>VLOOKUP(B306,Orgenheter!$A$1:$B$214,2,0)</f>
        <v>0</v>
      </c>
    </row>
    <row r="307" spans="3:3" ht="15" customHeight="1" x14ac:dyDescent="0.25">
      <c r="C307" s="58">
        <f>VLOOKUP(B307,Orgenheter!$A$1:$B$214,2,0)</f>
        <v>0</v>
      </c>
    </row>
    <row r="308" spans="3:3" ht="15" customHeight="1" x14ac:dyDescent="0.25">
      <c r="C308" s="58">
        <f>VLOOKUP(B308,Orgenheter!$A$1:$B$214,2,0)</f>
        <v>0</v>
      </c>
    </row>
    <row r="309" spans="3:3" ht="15" customHeight="1" x14ac:dyDescent="0.25">
      <c r="C309" s="58">
        <f>VLOOKUP(B309,Orgenheter!$A$1:$B$214,2,0)</f>
        <v>0</v>
      </c>
    </row>
    <row r="310" spans="3:3" ht="15" customHeight="1" x14ac:dyDescent="0.25">
      <c r="C310" s="58">
        <f>VLOOKUP(B310,Orgenheter!$A$1:$B$214,2,0)</f>
        <v>0</v>
      </c>
    </row>
    <row r="311" spans="3:3" ht="15" customHeight="1" x14ac:dyDescent="0.25">
      <c r="C311" s="58">
        <f>VLOOKUP(B311,Orgenheter!$A$1:$B$214,2,0)</f>
        <v>0</v>
      </c>
    </row>
    <row r="312" spans="3:3" ht="15" customHeight="1" x14ac:dyDescent="0.25">
      <c r="C312" s="58">
        <f>VLOOKUP(B312,Orgenheter!$A$1:$B$214,2,0)</f>
        <v>0</v>
      </c>
    </row>
    <row r="313" spans="3:3" ht="15" customHeight="1" x14ac:dyDescent="0.25">
      <c r="C313" s="58">
        <f>VLOOKUP(B313,Orgenheter!$A$1:$B$214,2,0)</f>
        <v>0</v>
      </c>
    </row>
    <row r="314" spans="3:3" ht="15" customHeight="1" x14ac:dyDescent="0.25">
      <c r="C314" s="58">
        <f>VLOOKUP(B314,Orgenheter!$A$1:$B$214,2,0)</f>
        <v>0</v>
      </c>
    </row>
    <row r="315" spans="3:3" ht="15" customHeight="1" x14ac:dyDescent="0.25">
      <c r="C315" s="58">
        <f>VLOOKUP(B315,Orgenheter!$A$1:$B$214,2,0)</f>
        <v>0</v>
      </c>
    </row>
    <row r="316" spans="3:3" ht="15" customHeight="1" x14ac:dyDescent="0.25">
      <c r="C316" s="58">
        <f>VLOOKUP(B316,Orgenheter!$A$1:$B$214,2,0)</f>
        <v>0</v>
      </c>
    </row>
    <row r="317" spans="3:3" ht="15" customHeight="1" x14ac:dyDescent="0.25">
      <c r="C317" s="58">
        <f>VLOOKUP(B317,Orgenheter!$A$1:$B$214,2,0)</f>
        <v>0</v>
      </c>
    </row>
    <row r="318" spans="3:3" ht="15" customHeight="1" x14ac:dyDescent="0.25">
      <c r="C318" s="58">
        <f>VLOOKUP(B318,Orgenheter!$A$1:$B$214,2,0)</f>
        <v>0</v>
      </c>
    </row>
    <row r="319" spans="3:3" ht="15" customHeight="1" x14ac:dyDescent="0.25">
      <c r="C319" s="58">
        <f>VLOOKUP(B319,Orgenheter!$A$1:$B$214,2,0)</f>
        <v>0</v>
      </c>
    </row>
    <row r="320" spans="3:3" ht="15" customHeight="1" x14ac:dyDescent="0.25">
      <c r="C320" s="58">
        <f>VLOOKUP(B320,Orgenheter!$A$1:$B$214,2,0)</f>
        <v>0</v>
      </c>
    </row>
    <row r="321" spans="3:3" ht="15" customHeight="1" x14ac:dyDescent="0.25">
      <c r="C321" s="58">
        <f>VLOOKUP(B321,Orgenheter!$A$1:$B$214,2,0)</f>
        <v>0</v>
      </c>
    </row>
    <row r="322" spans="3:3" ht="15" customHeight="1" x14ac:dyDescent="0.25">
      <c r="C322" s="58">
        <f>VLOOKUP(B322,Orgenheter!$A$1:$B$214,2,0)</f>
        <v>0</v>
      </c>
    </row>
    <row r="323" spans="3:3" ht="15" customHeight="1" x14ac:dyDescent="0.25">
      <c r="C323" s="58">
        <f>VLOOKUP(B323,Orgenheter!$A$1:$B$214,2,0)</f>
        <v>0</v>
      </c>
    </row>
    <row r="324" spans="3:3" ht="15" customHeight="1" x14ac:dyDescent="0.25">
      <c r="C324" s="58">
        <f>VLOOKUP(B324,Orgenheter!$A$1:$B$214,2,0)</f>
        <v>0</v>
      </c>
    </row>
    <row r="325" spans="3:3" ht="15" customHeight="1" x14ac:dyDescent="0.25">
      <c r="C325" s="58">
        <f>VLOOKUP(B325,Orgenheter!$A$1:$B$214,2,0)</f>
        <v>0</v>
      </c>
    </row>
    <row r="326" spans="3:3" ht="15" customHeight="1" x14ac:dyDescent="0.25">
      <c r="C326" s="58">
        <f>VLOOKUP(B326,Orgenheter!$A$1:$B$214,2,0)</f>
        <v>0</v>
      </c>
    </row>
    <row r="327" spans="3:3" ht="15" customHeight="1" x14ac:dyDescent="0.25">
      <c r="C327" s="58">
        <f>VLOOKUP(B327,Orgenheter!$A$1:$B$214,2,0)</f>
        <v>0</v>
      </c>
    </row>
    <row r="328" spans="3:3" ht="15" customHeight="1" x14ac:dyDescent="0.25">
      <c r="C328" s="58">
        <f>VLOOKUP(B328,Orgenheter!$A$1:$B$214,2,0)</f>
        <v>0</v>
      </c>
    </row>
    <row r="329" spans="3:3" ht="15" customHeight="1" x14ac:dyDescent="0.25">
      <c r="C329" s="58">
        <f>VLOOKUP(B329,Orgenheter!$A$1:$B$214,2,0)</f>
        <v>0</v>
      </c>
    </row>
    <row r="330" spans="3:3" ht="15" customHeight="1" x14ac:dyDescent="0.25">
      <c r="C330" s="58">
        <f>VLOOKUP(B330,Orgenheter!$A$1:$B$214,2,0)</f>
        <v>0</v>
      </c>
    </row>
    <row r="331" spans="3:3" ht="15" customHeight="1" x14ac:dyDescent="0.25">
      <c r="C331" s="58">
        <f>VLOOKUP(B331,Orgenheter!$A$1:$B$214,2,0)</f>
        <v>0</v>
      </c>
    </row>
    <row r="332" spans="3:3" ht="15" customHeight="1" x14ac:dyDescent="0.25">
      <c r="C332" s="58">
        <f>VLOOKUP(B332,Orgenheter!$A$1:$B$214,2,0)</f>
        <v>0</v>
      </c>
    </row>
    <row r="333" spans="3:3" ht="15" customHeight="1" x14ac:dyDescent="0.25">
      <c r="C333" s="58">
        <f>VLOOKUP(B333,Orgenheter!$A$1:$B$214,2,0)</f>
        <v>0</v>
      </c>
    </row>
    <row r="334" spans="3:3" ht="15" customHeight="1" x14ac:dyDescent="0.25">
      <c r="C334" s="58">
        <f>VLOOKUP(B334,Orgenheter!$A$1:$B$214,2,0)</f>
        <v>0</v>
      </c>
    </row>
    <row r="335" spans="3:3" ht="15" customHeight="1" x14ac:dyDescent="0.25">
      <c r="C335" s="58">
        <f>VLOOKUP(B335,Orgenheter!$A$1:$B$214,2,0)</f>
        <v>0</v>
      </c>
    </row>
    <row r="336" spans="3:3" ht="15" customHeight="1" x14ac:dyDescent="0.25">
      <c r="C336" s="58">
        <f>VLOOKUP(B336,Orgenheter!$A$1:$B$214,2,0)</f>
        <v>0</v>
      </c>
    </row>
    <row r="337" spans="3:3" ht="15" customHeight="1" x14ac:dyDescent="0.25">
      <c r="C337" s="58">
        <f>VLOOKUP(B337,Orgenheter!$A$1:$B$214,2,0)</f>
        <v>0</v>
      </c>
    </row>
    <row r="338" spans="3:3" ht="15" customHeight="1" x14ac:dyDescent="0.25">
      <c r="C338" s="58">
        <f>VLOOKUP(B338,Orgenheter!$A$1:$B$214,2,0)</f>
        <v>0</v>
      </c>
    </row>
    <row r="339" spans="3:3" ht="15" customHeight="1" x14ac:dyDescent="0.25">
      <c r="C339" s="58">
        <f>VLOOKUP(B339,Orgenheter!$A$1:$B$214,2,0)</f>
        <v>0</v>
      </c>
    </row>
    <row r="340" spans="3:3" ht="15" customHeight="1" x14ac:dyDescent="0.25">
      <c r="C340" s="58">
        <f>VLOOKUP(B340,Orgenheter!$A$1:$B$214,2,0)</f>
        <v>0</v>
      </c>
    </row>
    <row r="341" spans="3:3" ht="15" customHeight="1" x14ac:dyDescent="0.25">
      <c r="C341" s="58">
        <f>VLOOKUP(B341,Orgenheter!$A$1:$B$214,2,0)</f>
        <v>0</v>
      </c>
    </row>
    <row r="342" spans="3:3" ht="15" customHeight="1" x14ac:dyDescent="0.25">
      <c r="C342" s="58">
        <f>VLOOKUP(B342,Orgenheter!$A$1:$B$214,2,0)</f>
        <v>0</v>
      </c>
    </row>
    <row r="343" spans="3:3" ht="15" customHeight="1" x14ac:dyDescent="0.25">
      <c r="C343" s="58">
        <f>VLOOKUP(B343,Orgenheter!$A$1:$B$214,2,0)</f>
        <v>0</v>
      </c>
    </row>
    <row r="344" spans="3:3" ht="15" customHeight="1" x14ac:dyDescent="0.25">
      <c r="C344" s="58">
        <f>VLOOKUP(B344,Orgenheter!$A$1:$B$214,2,0)</f>
        <v>0</v>
      </c>
    </row>
    <row r="345" spans="3:3" ht="15" customHeight="1" x14ac:dyDescent="0.25">
      <c r="C345" s="58">
        <f>VLOOKUP(B345,Orgenheter!$A$1:$B$214,2,0)</f>
        <v>0</v>
      </c>
    </row>
    <row r="346" spans="3:3" ht="15" customHeight="1" x14ac:dyDescent="0.25">
      <c r="C346" s="58">
        <f>VLOOKUP(B346,Orgenheter!$A$1:$B$214,2,0)</f>
        <v>0</v>
      </c>
    </row>
    <row r="347" spans="3:3" ht="15" customHeight="1" x14ac:dyDescent="0.25">
      <c r="C347" s="58">
        <f>VLOOKUP(B347,Orgenheter!$A$1:$B$214,2,0)</f>
        <v>0</v>
      </c>
    </row>
    <row r="348" spans="3:3" ht="15" customHeight="1" x14ac:dyDescent="0.25">
      <c r="C348" s="58">
        <f>VLOOKUP(B348,Orgenheter!$A$1:$B$214,2,0)</f>
        <v>0</v>
      </c>
    </row>
    <row r="349" spans="3:3" x14ac:dyDescent="0.25">
      <c r="C349" s="58">
        <f>VLOOKUP(B349,Orgenheter!$A$1:$B$214,2,0)</f>
        <v>0</v>
      </c>
    </row>
    <row r="350" spans="3:3" x14ac:dyDescent="0.25">
      <c r="C350" s="58">
        <f>VLOOKUP(B350,Orgenheter!$A$1:$B$214,2,0)</f>
        <v>0</v>
      </c>
    </row>
    <row r="351" spans="3:3" x14ac:dyDescent="0.25">
      <c r="C351" s="58">
        <f>VLOOKUP(B351,Orgenheter!$A$1:$B$214,2,0)</f>
        <v>0</v>
      </c>
    </row>
    <row r="352" spans="3:3" x14ac:dyDescent="0.25">
      <c r="C352" s="58">
        <f>VLOOKUP(B352,Orgenheter!$A$1:$B$214,2,0)</f>
        <v>0</v>
      </c>
    </row>
    <row r="353" spans="3:3" x14ac:dyDescent="0.25">
      <c r="C353" s="58">
        <f>VLOOKUP(B353,Orgenheter!$A$1:$B$214,2,0)</f>
        <v>0</v>
      </c>
    </row>
    <row r="354" spans="3:3" x14ac:dyDescent="0.25">
      <c r="C354" s="58">
        <f>VLOOKUP(B354,Orgenheter!$A$1:$B$214,2,0)</f>
        <v>0</v>
      </c>
    </row>
    <row r="355" spans="3:3" x14ac:dyDescent="0.25">
      <c r="C355" s="58">
        <f>VLOOKUP(B355,Orgenheter!$A$1:$B$214,2,0)</f>
        <v>0</v>
      </c>
    </row>
    <row r="356" spans="3:3" x14ac:dyDescent="0.25">
      <c r="C356" s="58">
        <f>VLOOKUP(B356,Orgenheter!$A$1:$B$214,2,0)</f>
        <v>0</v>
      </c>
    </row>
    <row r="357" spans="3:3" x14ac:dyDescent="0.25">
      <c r="C357" s="58">
        <f>VLOOKUP(B357,Orgenheter!$A$1:$B$214,2,0)</f>
        <v>0</v>
      </c>
    </row>
    <row r="358" spans="3:3" x14ac:dyDescent="0.25">
      <c r="C358" s="58">
        <f>VLOOKUP(B358,Orgenheter!$A$1:$B$214,2,0)</f>
        <v>0</v>
      </c>
    </row>
    <row r="359" spans="3:3" x14ac:dyDescent="0.25">
      <c r="C359" s="58">
        <f>VLOOKUP(B359,Orgenheter!$A$1:$B$214,2,0)</f>
        <v>0</v>
      </c>
    </row>
    <row r="360" spans="3:3" x14ac:dyDescent="0.25">
      <c r="C360" s="58">
        <f>VLOOKUP(B360,Orgenheter!$A$1:$B$214,2,0)</f>
        <v>0</v>
      </c>
    </row>
    <row r="361" spans="3:3" x14ac:dyDescent="0.25">
      <c r="C361" s="58">
        <f>VLOOKUP(B361,Orgenheter!$A$1:$B$214,2,0)</f>
        <v>0</v>
      </c>
    </row>
    <row r="362" spans="3:3" x14ac:dyDescent="0.25">
      <c r="C362" s="58">
        <f>VLOOKUP(B362,Orgenheter!$A$1:$B$214,2,0)</f>
        <v>0</v>
      </c>
    </row>
    <row r="363" spans="3:3" x14ac:dyDescent="0.25">
      <c r="C363" s="58">
        <f>VLOOKUP(B363,Orgenheter!$A$1:$B$214,2,0)</f>
        <v>0</v>
      </c>
    </row>
    <row r="364" spans="3:3" x14ac:dyDescent="0.25">
      <c r="C364" s="58">
        <f>VLOOKUP(B364,Orgenheter!$A$1:$B$214,2,0)</f>
        <v>0</v>
      </c>
    </row>
    <row r="365" spans="3:3" x14ac:dyDescent="0.25">
      <c r="C365" s="58">
        <f>VLOOKUP(B365,Orgenheter!$A$1:$B$214,2,0)</f>
        <v>0</v>
      </c>
    </row>
    <row r="366" spans="3:3" x14ac:dyDescent="0.25">
      <c r="C366" s="58">
        <f>VLOOKUP(B366,Orgenheter!$A$1:$B$214,2,0)</f>
        <v>0</v>
      </c>
    </row>
    <row r="367" spans="3:3" x14ac:dyDescent="0.25">
      <c r="C367" s="58">
        <f>VLOOKUP(B367,Orgenheter!$A$1:$B$214,2,0)</f>
        <v>0</v>
      </c>
    </row>
    <row r="368" spans="3:3" x14ac:dyDescent="0.25">
      <c r="C368" s="58">
        <f>VLOOKUP(B368,Orgenheter!$A$1:$B$214,2,0)</f>
        <v>0</v>
      </c>
    </row>
    <row r="369" spans="3:3" x14ac:dyDescent="0.25">
      <c r="C369" s="58">
        <f>VLOOKUP(B369,Orgenheter!$A$1:$B$214,2,0)</f>
        <v>0</v>
      </c>
    </row>
    <row r="370" spans="3:3" x14ac:dyDescent="0.25">
      <c r="C370" s="58">
        <f>VLOOKUP(B370,Orgenheter!$A$1:$B$214,2,0)</f>
        <v>0</v>
      </c>
    </row>
    <row r="371" spans="3:3" x14ac:dyDescent="0.25">
      <c r="C371" s="58">
        <f>VLOOKUP(B371,Orgenheter!$A$1:$B$214,2,0)</f>
        <v>0</v>
      </c>
    </row>
    <row r="372" spans="3:3" x14ac:dyDescent="0.25">
      <c r="C372" s="58">
        <f>VLOOKUP(B372,Orgenheter!$A$1:$B$214,2,0)</f>
        <v>0</v>
      </c>
    </row>
    <row r="373" spans="3:3" x14ac:dyDescent="0.25">
      <c r="C373" s="58">
        <f>VLOOKUP(B373,Orgenheter!$A$1:$B$214,2,0)</f>
        <v>0</v>
      </c>
    </row>
    <row r="374" spans="3:3" x14ac:dyDescent="0.25">
      <c r="C374" s="58">
        <f>VLOOKUP(B374,Orgenheter!$A$1:$B$214,2,0)</f>
        <v>0</v>
      </c>
    </row>
    <row r="375" spans="3:3" x14ac:dyDescent="0.25">
      <c r="C375" s="58">
        <f>VLOOKUP(B375,Orgenheter!$A$1:$B$214,2,0)</f>
        <v>0</v>
      </c>
    </row>
    <row r="376" spans="3:3" x14ac:dyDescent="0.25">
      <c r="C376" s="58">
        <f>VLOOKUP(B376,Orgenheter!$A$1:$B$214,2,0)</f>
        <v>0</v>
      </c>
    </row>
    <row r="377" spans="3:3" x14ac:dyDescent="0.25">
      <c r="C377" s="58">
        <f>VLOOKUP(B377,Orgenheter!$A$1:$B$214,2,0)</f>
        <v>0</v>
      </c>
    </row>
    <row r="378" spans="3:3" x14ac:dyDescent="0.25">
      <c r="C378" s="58">
        <f>VLOOKUP(B378,Orgenheter!$A$1:$B$214,2,0)</f>
        <v>0</v>
      </c>
    </row>
    <row r="379" spans="3:3" x14ac:dyDescent="0.25">
      <c r="C379" s="58">
        <f>VLOOKUP(B379,Orgenheter!$A$1:$B$214,2,0)</f>
        <v>0</v>
      </c>
    </row>
    <row r="380" spans="3:3" x14ac:dyDescent="0.25">
      <c r="C380" s="58">
        <f>VLOOKUP(B380,Orgenheter!$A$1:$B$214,2,0)</f>
        <v>0</v>
      </c>
    </row>
    <row r="381" spans="3:3" x14ac:dyDescent="0.25">
      <c r="C381" s="58">
        <f>VLOOKUP(B381,Orgenheter!$A$1:$B$214,2,0)</f>
        <v>0</v>
      </c>
    </row>
    <row r="382" spans="3:3" x14ac:dyDescent="0.25">
      <c r="C382" s="58">
        <f>VLOOKUP(B382,Orgenheter!$A$1:$B$214,2,0)</f>
        <v>0</v>
      </c>
    </row>
    <row r="383" spans="3:3" x14ac:dyDescent="0.25">
      <c r="C383" s="58">
        <f>VLOOKUP(B383,Orgenheter!$A$1:$B$214,2,0)</f>
        <v>0</v>
      </c>
    </row>
    <row r="384" spans="3:3" x14ac:dyDescent="0.25">
      <c r="C384" s="58">
        <f>VLOOKUP(B384,Orgenheter!$A$1:$B$214,2,0)</f>
        <v>0</v>
      </c>
    </row>
    <row r="385" spans="3:3" x14ac:dyDescent="0.25">
      <c r="C385" s="58">
        <f>VLOOKUP(B385,Orgenheter!$A$1:$B$214,2,0)</f>
        <v>0</v>
      </c>
    </row>
    <row r="386" spans="3:3" x14ac:dyDescent="0.25">
      <c r="C386" s="58">
        <f>VLOOKUP(B386,Orgenheter!$A$1:$B$214,2,0)</f>
        <v>0</v>
      </c>
    </row>
    <row r="387" spans="3:3" x14ac:dyDescent="0.25">
      <c r="C387" s="58">
        <f>VLOOKUP(B387,Orgenheter!$A$1:$B$214,2,0)</f>
        <v>0</v>
      </c>
    </row>
    <row r="388" spans="3:3" x14ac:dyDescent="0.25">
      <c r="C388" s="58">
        <f>VLOOKUP(B388,Orgenheter!$A$1:$B$214,2,0)</f>
        <v>0</v>
      </c>
    </row>
    <row r="389" spans="3:3" x14ac:dyDescent="0.25">
      <c r="C389" s="58">
        <f>VLOOKUP(B389,Orgenheter!$A$1:$B$214,2,0)</f>
        <v>0</v>
      </c>
    </row>
    <row r="390" spans="3:3" x14ac:dyDescent="0.25">
      <c r="C390" s="58">
        <f>VLOOKUP(B390,Orgenheter!$A$1:$B$214,2,0)</f>
        <v>0</v>
      </c>
    </row>
    <row r="391" spans="3:3" x14ac:dyDescent="0.25">
      <c r="C391" s="58">
        <f>VLOOKUP(B391,Orgenheter!$A$1:$B$214,2,0)</f>
        <v>0</v>
      </c>
    </row>
    <row r="392" spans="3:3" x14ac:dyDescent="0.25">
      <c r="C392" s="58">
        <f>VLOOKUP(B392,Orgenheter!$A$1:$B$214,2,0)</f>
        <v>0</v>
      </c>
    </row>
    <row r="393" spans="3:3" x14ac:dyDescent="0.25">
      <c r="C393" s="58">
        <f>VLOOKUP(B393,Orgenheter!$A$1:$B$214,2,0)</f>
        <v>0</v>
      </c>
    </row>
    <row r="394" spans="3:3" x14ac:dyDescent="0.25">
      <c r="C394" s="58">
        <f>VLOOKUP(B394,Orgenheter!$A$1:$B$214,2,0)</f>
        <v>0</v>
      </c>
    </row>
    <row r="395" spans="3:3" x14ac:dyDescent="0.25">
      <c r="C395" s="58">
        <f>VLOOKUP(B395,Orgenheter!$A$1:$B$214,2,0)</f>
        <v>0</v>
      </c>
    </row>
    <row r="396" spans="3:3" x14ac:dyDescent="0.25">
      <c r="C396" s="58">
        <f>VLOOKUP(B396,Orgenheter!$A$1:$B$214,2,0)</f>
        <v>0</v>
      </c>
    </row>
    <row r="397" spans="3:3" x14ac:dyDescent="0.25">
      <c r="C397" s="58">
        <f>VLOOKUP(B397,Orgenheter!$A$1:$B$214,2,0)</f>
        <v>0</v>
      </c>
    </row>
    <row r="398" spans="3:3" x14ac:dyDescent="0.25">
      <c r="C398" s="58">
        <f>VLOOKUP(B398,Orgenheter!$A$1:$B$214,2,0)</f>
        <v>0</v>
      </c>
    </row>
    <row r="399" spans="3:3" x14ac:dyDescent="0.25">
      <c r="C399" s="58">
        <f>VLOOKUP(B399,Orgenheter!$A$1:$B$214,2,0)</f>
        <v>0</v>
      </c>
    </row>
  </sheetData>
  <sheetProtection sheet="1" objects="1" scenarios="1"/>
  <autoFilter ref="A1:C254">
    <sortState ref="A2:C497">
      <sortCondition ref="A1:A497"/>
    </sortState>
  </autoFilter>
  <sortState ref="A2:C439">
    <sortCondition ref="A2:A439"/>
  </sortState>
  <phoneticPr fontId="41" type="noConversion"/>
  <printOptions horizontalCentered="1" gridLines="1"/>
  <pageMargins left="0.55118110236220474" right="0.55118110236220474" top="0.19685039370078741" bottom="0.47244094488188981" header="0.51181102362204722" footer="7.874015748031496E-2"/>
  <pageSetup paperSize="9" orientation="portrait" r:id="rId1"/>
  <headerFooter alignWithMargins="0">
    <oddFooter>Sida &amp;P av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4:D78"/>
  <sheetViews>
    <sheetView topLeftCell="A34" zoomScaleNormal="100" workbookViewId="0">
      <selection activeCell="D35" sqref="D35"/>
    </sheetView>
  </sheetViews>
  <sheetFormatPr defaultColWidth="8.85546875" defaultRowHeight="15" x14ac:dyDescent="0.25"/>
  <cols>
    <col min="1" max="1" width="15.140625" customWidth="1"/>
    <col min="2" max="3" width="6.42578125" bestFit="1" customWidth="1"/>
    <col min="4" max="4" width="23" bestFit="1" customWidth="1"/>
    <col min="5" max="6" width="23.85546875" customWidth="1"/>
    <col min="7" max="7" width="23.140625" customWidth="1"/>
    <col min="8" max="8" width="13.140625" customWidth="1"/>
  </cols>
  <sheetData>
    <row r="4" spans="1:4" x14ac:dyDescent="0.25">
      <c r="A4" s="306"/>
      <c r="B4" s="307" t="s">
        <v>2</v>
      </c>
      <c r="C4" s="308"/>
      <c r="D4" s="309"/>
    </row>
    <row r="5" spans="1:4" x14ac:dyDescent="0.25">
      <c r="A5" s="307" t="s">
        <v>57</v>
      </c>
      <c r="B5" s="306" t="s">
        <v>350</v>
      </c>
      <c r="C5" s="310" t="s">
        <v>351</v>
      </c>
      <c r="D5" s="311" t="s">
        <v>478</v>
      </c>
    </row>
    <row r="6" spans="1:4" x14ac:dyDescent="0.25">
      <c r="A6" s="306" t="s">
        <v>518</v>
      </c>
      <c r="B6" s="312">
        <v>0.25</v>
      </c>
      <c r="C6" s="313">
        <v>0.25</v>
      </c>
      <c r="D6" s="314">
        <v>10268</v>
      </c>
    </row>
    <row r="7" spans="1:4" x14ac:dyDescent="0.25">
      <c r="A7" s="315" t="s">
        <v>696</v>
      </c>
      <c r="B7" s="316">
        <v>0.500000004</v>
      </c>
      <c r="C7" s="273">
        <v>0.500000004</v>
      </c>
      <c r="D7" s="317">
        <v>20536.000164288002</v>
      </c>
    </row>
    <row r="8" spans="1:4" x14ac:dyDescent="0.25">
      <c r="A8" s="315" t="s">
        <v>568</v>
      </c>
      <c r="B8" s="316">
        <v>0.25</v>
      </c>
      <c r="C8" s="273">
        <v>0.25</v>
      </c>
      <c r="D8" s="317">
        <v>10268</v>
      </c>
    </row>
    <row r="9" spans="1:4" x14ac:dyDescent="0.25">
      <c r="A9" s="315" t="s">
        <v>520</v>
      </c>
      <c r="B9" s="316">
        <v>0.250000002</v>
      </c>
      <c r="C9" s="273">
        <v>0.250000002</v>
      </c>
      <c r="D9" s="317">
        <v>10268.000082144001</v>
      </c>
    </row>
    <row r="10" spans="1:4" x14ac:dyDescent="0.25">
      <c r="A10" s="315" t="s">
        <v>857</v>
      </c>
      <c r="B10" s="316">
        <v>0.5</v>
      </c>
      <c r="C10" s="273">
        <v>0.5</v>
      </c>
      <c r="D10" s="317">
        <v>20536</v>
      </c>
    </row>
    <row r="11" spans="1:4" x14ac:dyDescent="0.25">
      <c r="A11" s="315" t="s">
        <v>920</v>
      </c>
      <c r="B11" s="316">
        <v>0.25</v>
      </c>
      <c r="C11" s="273">
        <v>0.25</v>
      </c>
      <c r="D11" s="317">
        <v>10268</v>
      </c>
    </row>
    <row r="12" spans="1:4" x14ac:dyDescent="0.25">
      <c r="A12" s="315" t="s">
        <v>674</v>
      </c>
      <c r="B12" s="316">
        <v>0.25</v>
      </c>
      <c r="C12" s="273">
        <v>0.25</v>
      </c>
      <c r="D12" s="317">
        <v>10268</v>
      </c>
    </row>
    <row r="13" spans="1:4" x14ac:dyDescent="0.25">
      <c r="A13" s="315" t="s">
        <v>740</v>
      </c>
      <c r="B13" s="316">
        <v>0.25</v>
      </c>
      <c r="C13" s="273">
        <v>0.25</v>
      </c>
      <c r="D13" s="317">
        <v>10268</v>
      </c>
    </row>
    <row r="14" spans="1:4" x14ac:dyDescent="0.25">
      <c r="A14" s="315" t="s">
        <v>770</v>
      </c>
      <c r="B14" s="316">
        <v>0.125000001</v>
      </c>
      <c r="C14" s="273">
        <v>0.125000001</v>
      </c>
      <c r="D14" s="317">
        <v>5134.0000410720004</v>
      </c>
    </row>
    <row r="15" spans="1:4" x14ac:dyDescent="0.25">
      <c r="A15" s="315" t="s">
        <v>859</v>
      </c>
      <c r="B15" s="316">
        <v>0.24999999639999998</v>
      </c>
      <c r="C15" s="273">
        <v>0.24999999639999998</v>
      </c>
      <c r="D15" s="317">
        <v>10267.999852140798</v>
      </c>
    </row>
    <row r="16" spans="1:4" x14ac:dyDescent="0.25">
      <c r="A16" s="315" t="s">
        <v>860</v>
      </c>
      <c r="B16" s="316">
        <v>0.125</v>
      </c>
      <c r="C16" s="273">
        <v>0.125</v>
      </c>
      <c r="D16" s="317">
        <v>5134</v>
      </c>
    </row>
    <row r="17" spans="1:4" x14ac:dyDescent="0.25">
      <c r="A17" s="315" t="s">
        <v>921</v>
      </c>
      <c r="B17" s="316">
        <v>0.125</v>
      </c>
      <c r="C17" s="273">
        <v>0.125</v>
      </c>
      <c r="D17" s="317">
        <v>5134</v>
      </c>
    </row>
    <row r="18" spans="1:4" x14ac:dyDescent="0.25">
      <c r="A18" s="315" t="s">
        <v>600</v>
      </c>
      <c r="B18" s="316">
        <v>0.5</v>
      </c>
      <c r="C18" s="273">
        <v>0.5</v>
      </c>
      <c r="D18" s="317">
        <v>20536</v>
      </c>
    </row>
    <row r="19" spans="1:4" x14ac:dyDescent="0.25">
      <c r="A19" s="315" t="s">
        <v>651</v>
      </c>
      <c r="B19" s="316">
        <v>0.124999994</v>
      </c>
      <c r="C19" s="273">
        <v>0.124999994</v>
      </c>
      <c r="D19" s="317">
        <v>5133.9997535679995</v>
      </c>
    </row>
    <row r="20" spans="1:4" x14ac:dyDescent="0.25">
      <c r="A20" s="315" t="s">
        <v>652</v>
      </c>
      <c r="B20" s="316">
        <v>0.250000002</v>
      </c>
      <c r="C20" s="273">
        <v>0.250000002</v>
      </c>
      <c r="D20" s="317">
        <v>10268.000082144001</v>
      </c>
    </row>
    <row r="21" spans="1:4" x14ac:dyDescent="0.25">
      <c r="A21" s="315" t="s">
        <v>774</v>
      </c>
      <c r="B21" s="316">
        <v>0.50000000199999994</v>
      </c>
      <c r="C21" s="273">
        <v>0.50000000199999994</v>
      </c>
      <c r="D21" s="317">
        <v>20536.000082144001</v>
      </c>
    </row>
    <row r="22" spans="1:4" x14ac:dyDescent="0.25">
      <c r="A22" s="315" t="s">
        <v>702</v>
      </c>
      <c r="B22" s="316">
        <v>0.250000002</v>
      </c>
      <c r="C22" s="273">
        <v>0.250000002</v>
      </c>
      <c r="D22" s="317">
        <v>10268.000082144001</v>
      </c>
    </row>
    <row r="23" spans="1:4" x14ac:dyDescent="0.25">
      <c r="A23" s="315" t="s">
        <v>853</v>
      </c>
      <c r="B23" s="316">
        <v>0.250000002</v>
      </c>
      <c r="C23" s="273">
        <v>0.250000002</v>
      </c>
      <c r="D23" s="317">
        <v>10268.000082144001</v>
      </c>
    </row>
    <row r="24" spans="1:4" x14ac:dyDescent="0.25">
      <c r="A24" s="315" t="s">
        <v>775</v>
      </c>
      <c r="B24" s="316">
        <v>0.1249999985</v>
      </c>
      <c r="C24" s="273">
        <v>0.1249999985</v>
      </c>
      <c r="D24" s="317">
        <v>9691.8748836974992</v>
      </c>
    </row>
    <row r="25" spans="1:4" x14ac:dyDescent="0.25">
      <c r="A25" s="315" t="s">
        <v>607</v>
      </c>
      <c r="B25" s="316">
        <v>11.8750001325</v>
      </c>
      <c r="C25" s="273">
        <v>11.8750001325</v>
      </c>
      <c r="D25" s="317">
        <v>729552.50814027002</v>
      </c>
    </row>
    <row r="26" spans="1:4" x14ac:dyDescent="0.25">
      <c r="A26" s="315" t="s">
        <v>608</v>
      </c>
      <c r="B26" s="316">
        <v>0.12500000250000001</v>
      </c>
      <c r="C26" s="273">
        <v>0.12500000250000001</v>
      </c>
      <c r="D26" s="317">
        <v>7679.500153590001</v>
      </c>
    </row>
    <row r="27" spans="1:4" x14ac:dyDescent="0.25">
      <c r="A27" s="315" t="s">
        <v>609</v>
      </c>
      <c r="B27" s="316">
        <v>7.5000000700000005</v>
      </c>
      <c r="C27" s="273">
        <v>7.5000000700000005</v>
      </c>
      <c r="D27" s="317">
        <v>460770.00430052</v>
      </c>
    </row>
    <row r="28" spans="1:4" x14ac:dyDescent="0.25">
      <c r="A28" s="315" t="s">
        <v>776</v>
      </c>
      <c r="B28" s="316">
        <v>0</v>
      </c>
      <c r="C28" s="273">
        <v>0</v>
      </c>
      <c r="D28" s="317">
        <v>0</v>
      </c>
    </row>
    <row r="29" spans="1:4" x14ac:dyDescent="0.25">
      <c r="A29" s="315" t="s">
        <v>710</v>
      </c>
      <c r="B29" s="316">
        <v>1.000000008</v>
      </c>
      <c r="C29" s="273">
        <v>1.000000008</v>
      </c>
      <c r="D29" s="317">
        <v>55743.000445944002</v>
      </c>
    </row>
    <row r="30" spans="1:4" x14ac:dyDescent="0.25">
      <c r="A30" s="315" t="s">
        <v>711</v>
      </c>
      <c r="B30" s="316">
        <v>7</v>
      </c>
      <c r="C30" s="273">
        <v>7</v>
      </c>
      <c r="D30" s="317">
        <v>390201</v>
      </c>
    </row>
    <row r="31" spans="1:4" x14ac:dyDescent="0.25">
      <c r="A31" s="315" t="s">
        <v>677</v>
      </c>
      <c r="B31" s="316">
        <v>0.75000000199999994</v>
      </c>
      <c r="C31" s="273">
        <v>0.75000000199999994</v>
      </c>
      <c r="D31" s="317">
        <v>132969.00035458402</v>
      </c>
    </row>
    <row r="32" spans="1:4" x14ac:dyDescent="0.25">
      <c r="A32" s="315" t="s">
        <v>765</v>
      </c>
      <c r="B32" s="316">
        <v>1</v>
      </c>
      <c r="C32" s="273">
        <v>1</v>
      </c>
      <c r="D32" s="317">
        <v>177292</v>
      </c>
    </row>
    <row r="33" spans="1:4" x14ac:dyDescent="0.25">
      <c r="A33" s="315" t="s">
        <v>777</v>
      </c>
      <c r="B33" s="316">
        <v>0.500000004</v>
      </c>
      <c r="C33" s="273">
        <v>0.500000004</v>
      </c>
      <c r="D33" s="317">
        <v>88646.000709168002</v>
      </c>
    </row>
    <row r="34" spans="1:4" x14ac:dyDescent="0.25">
      <c r="A34" s="315" t="s">
        <v>833</v>
      </c>
      <c r="B34" s="316">
        <v>1.750000008</v>
      </c>
      <c r="C34" s="273">
        <v>1.750000008</v>
      </c>
      <c r="D34" s="317">
        <v>250664.75114589601</v>
      </c>
    </row>
    <row r="35" spans="1:4" x14ac:dyDescent="0.25">
      <c r="A35" s="315" t="s">
        <v>712</v>
      </c>
      <c r="B35" s="316">
        <v>0.500000004</v>
      </c>
      <c r="C35" s="273">
        <v>0.500000004</v>
      </c>
      <c r="D35" s="317">
        <v>57943.000463543998</v>
      </c>
    </row>
    <row r="36" spans="1:4" x14ac:dyDescent="0.25">
      <c r="A36" s="315" t="s">
        <v>865</v>
      </c>
      <c r="B36" s="316">
        <v>0.1249999985</v>
      </c>
      <c r="C36" s="273">
        <v>0.1249999985</v>
      </c>
      <c r="D36" s="317">
        <v>9691.8748836974992</v>
      </c>
    </row>
    <row r="37" spans="1:4" x14ac:dyDescent="0.25">
      <c r="A37" s="315" t="s">
        <v>778</v>
      </c>
      <c r="B37" s="316">
        <v>1.2500000039999999</v>
      </c>
      <c r="C37" s="273">
        <v>1.2500000039999999</v>
      </c>
      <c r="D37" s="317">
        <v>96918.750310139993</v>
      </c>
    </row>
    <row r="38" spans="1:4" x14ac:dyDescent="0.25">
      <c r="A38" s="315" t="s">
        <v>835</v>
      </c>
      <c r="B38" s="316">
        <v>1.5</v>
      </c>
      <c r="C38" s="273">
        <v>1.5</v>
      </c>
      <c r="D38" s="317">
        <v>116302.5</v>
      </c>
    </row>
    <row r="39" spans="1:4" x14ac:dyDescent="0.25">
      <c r="A39" s="315" t="s">
        <v>922</v>
      </c>
      <c r="B39" s="316">
        <v>0.25</v>
      </c>
      <c r="C39" s="273">
        <v>0.25</v>
      </c>
      <c r="D39" s="317">
        <v>19383.75</v>
      </c>
    </row>
    <row r="40" spans="1:4" x14ac:dyDescent="0.25">
      <c r="A40" s="315" t="s">
        <v>866</v>
      </c>
      <c r="B40" s="316">
        <v>0.62500000499999997</v>
      </c>
      <c r="C40" s="273">
        <v>0.62500000499999997</v>
      </c>
      <c r="D40" s="317">
        <v>25670.000205359996</v>
      </c>
    </row>
    <row r="41" spans="1:4" x14ac:dyDescent="0.25">
      <c r="A41" s="315" t="s">
        <v>867</v>
      </c>
      <c r="B41" s="316">
        <v>0.87500000770000008</v>
      </c>
      <c r="C41" s="273">
        <v>0.87500000770000008</v>
      </c>
      <c r="D41" s="317">
        <v>35938.000316254409</v>
      </c>
    </row>
    <row r="42" spans="1:4" x14ac:dyDescent="0.25">
      <c r="A42" s="315" t="s">
        <v>868</v>
      </c>
      <c r="B42" s="316">
        <v>1.7500000371</v>
      </c>
      <c r="C42" s="273">
        <v>1.7500000371</v>
      </c>
      <c r="D42" s="317">
        <v>71876.001523771192</v>
      </c>
    </row>
    <row r="43" spans="1:4" x14ac:dyDescent="0.25">
      <c r="A43" s="315" t="s">
        <v>869</v>
      </c>
      <c r="B43" s="316">
        <v>0.124999994</v>
      </c>
      <c r="C43" s="273">
        <v>0.124999994</v>
      </c>
      <c r="D43" s="317">
        <v>20981.373992893998</v>
      </c>
    </row>
    <row r="44" spans="1:4" x14ac:dyDescent="0.25">
      <c r="A44" s="315" t="s">
        <v>642</v>
      </c>
      <c r="B44" s="316">
        <v>1.2500000250000001</v>
      </c>
      <c r="C44" s="273">
        <v>1.2500000250000001</v>
      </c>
      <c r="D44" s="317">
        <v>51340.001026800004</v>
      </c>
    </row>
    <row r="45" spans="1:4" x14ac:dyDescent="0.25">
      <c r="A45" s="315" t="s">
        <v>617</v>
      </c>
      <c r="B45" s="316">
        <v>3</v>
      </c>
      <c r="C45" s="273">
        <v>3</v>
      </c>
      <c r="D45" s="317">
        <v>123216</v>
      </c>
    </row>
    <row r="46" spans="1:4" x14ac:dyDescent="0.25">
      <c r="A46" s="315" t="s">
        <v>870</v>
      </c>
      <c r="B46" s="316">
        <v>0.12500000040000001</v>
      </c>
      <c r="C46" s="273">
        <v>0.12500000040000001</v>
      </c>
      <c r="D46" s="317">
        <v>9691.8750310140003</v>
      </c>
    </row>
    <row r="47" spans="1:4" x14ac:dyDescent="0.25">
      <c r="A47" s="315" t="s">
        <v>836</v>
      </c>
      <c r="B47" s="316">
        <v>0.37500000119999999</v>
      </c>
      <c r="C47" s="273">
        <v>0.37500000119999999</v>
      </c>
      <c r="D47" s="317">
        <v>29075.625093041999</v>
      </c>
    </row>
    <row r="48" spans="1:4" x14ac:dyDescent="0.25">
      <c r="A48" s="315" t="s">
        <v>923</v>
      </c>
      <c r="B48" s="316">
        <v>0.125</v>
      </c>
      <c r="C48" s="273">
        <v>0.125</v>
      </c>
      <c r="D48" s="317">
        <v>9691.875</v>
      </c>
    </row>
    <row r="49" spans="1:4" x14ac:dyDescent="0.25">
      <c r="A49" s="315" t="s">
        <v>572</v>
      </c>
      <c r="B49" s="316">
        <v>2</v>
      </c>
      <c r="C49" s="273">
        <v>2</v>
      </c>
      <c r="D49" s="317">
        <v>155070</v>
      </c>
    </row>
    <row r="50" spans="1:4" x14ac:dyDescent="0.25">
      <c r="A50" s="315" t="s">
        <v>573</v>
      </c>
      <c r="B50" s="316">
        <v>0.75</v>
      </c>
      <c r="C50" s="273">
        <v>0.75</v>
      </c>
      <c r="D50" s="317">
        <v>58151.25</v>
      </c>
    </row>
    <row r="51" spans="1:4" x14ac:dyDescent="0.25">
      <c r="A51" s="315" t="s">
        <v>620</v>
      </c>
      <c r="B51" s="316">
        <v>0.75000000600000005</v>
      </c>
      <c r="C51" s="273">
        <v>0.75000000600000005</v>
      </c>
      <c r="D51" s="317">
        <v>58151.250465210003</v>
      </c>
    </row>
    <row r="52" spans="1:4" x14ac:dyDescent="0.25">
      <c r="A52" s="315" t="s">
        <v>871</v>
      </c>
      <c r="B52" s="316">
        <v>0.25000000160000002</v>
      </c>
      <c r="C52" s="273">
        <v>0.25000000160000002</v>
      </c>
      <c r="D52" s="317">
        <v>19383.750124056001</v>
      </c>
    </row>
    <row r="53" spans="1:4" x14ac:dyDescent="0.25">
      <c r="A53" s="315" t="s">
        <v>837</v>
      </c>
      <c r="B53" s="316">
        <v>1.000000008</v>
      </c>
      <c r="C53" s="273">
        <v>1.000000008</v>
      </c>
      <c r="D53" s="317">
        <v>167851.00134280801</v>
      </c>
    </row>
    <row r="54" spans="1:4" x14ac:dyDescent="0.25">
      <c r="A54" s="315" t="s">
        <v>816</v>
      </c>
      <c r="B54" s="316">
        <v>2.500000016</v>
      </c>
      <c r="C54" s="273">
        <v>2.500000016</v>
      </c>
      <c r="D54" s="317">
        <v>419627.50268561603</v>
      </c>
    </row>
    <row r="55" spans="1:4" x14ac:dyDescent="0.25">
      <c r="A55" s="315" t="s">
        <v>817</v>
      </c>
      <c r="B55" s="316">
        <v>2.5000000039999999</v>
      </c>
      <c r="C55" s="273">
        <v>2.5000000039999999</v>
      </c>
      <c r="D55" s="317">
        <v>419627.50067140401</v>
      </c>
    </row>
    <row r="56" spans="1:4" x14ac:dyDescent="0.25">
      <c r="A56" s="315" t="s">
        <v>872</v>
      </c>
      <c r="B56" s="316">
        <v>0.125</v>
      </c>
      <c r="C56" s="273">
        <v>0.125</v>
      </c>
      <c r="D56" s="317">
        <v>5134</v>
      </c>
    </row>
    <row r="57" spans="1:4" x14ac:dyDescent="0.25">
      <c r="A57" s="315" t="s">
        <v>532</v>
      </c>
      <c r="B57" s="316">
        <v>4.6249999820000003</v>
      </c>
      <c r="C57" s="273">
        <v>4.6249999820000003</v>
      </c>
      <c r="D57" s="317">
        <v>284141.498894152</v>
      </c>
    </row>
    <row r="58" spans="1:4" x14ac:dyDescent="0.25">
      <c r="A58" s="315" t="s">
        <v>533</v>
      </c>
      <c r="B58" s="316">
        <v>7.7499999475000001</v>
      </c>
      <c r="C58" s="273">
        <v>7.7499999475000001</v>
      </c>
      <c r="D58" s="317">
        <v>476128.99677461002</v>
      </c>
    </row>
    <row r="59" spans="1:4" x14ac:dyDescent="0.25">
      <c r="A59" s="315" t="s">
        <v>535</v>
      </c>
      <c r="B59" s="316">
        <v>4.3750000199999999</v>
      </c>
      <c r="C59" s="273">
        <v>4.3750000199999999</v>
      </c>
      <c r="D59" s="317">
        <v>268782.50122872001</v>
      </c>
    </row>
    <row r="60" spans="1:4" x14ac:dyDescent="0.25">
      <c r="A60" s="315" t="s">
        <v>536</v>
      </c>
      <c r="B60" s="316">
        <v>8.8749999445000007</v>
      </c>
      <c r="C60" s="273">
        <v>8.8749999445000007</v>
      </c>
      <c r="D60" s="317">
        <v>545244.49659030198</v>
      </c>
    </row>
    <row r="61" spans="1:4" x14ac:dyDescent="0.25">
      <c r="A61" s="315" t="s">
        <v>785</v>
      </c>
      <c r="B61" s="316">
        <v>1.5</v>
      </c>
      <c r="C61" s="273">
        <v>1.5</v>
      </c>
      <c r="D61" s="317">
        <v>116302.5</v>
      </c>
    </row>
    <row r="62" spans="1:4" x14ac:dyDescent="0.25">
      <c r="A62" s="315" t="s">
        <v>654</v>
      </c>
      <c r="B62" s="316">
        <v>10.75000004</v>
      </c>
      <c r="C62" s="273">
        <v>10.75000004</v>
      </c>
      <c r="D62" s="317">
        <v>660437.0024574399</v>
      </c>
    </row>
    <row r="63" spans="1:4" x14ac:dyDescent="0.25">
      <c r="A63" s="315" t="s">
        <v>873</v>
      </c>
      <c r="B63" s="316">
        <v>0.125</v>
      </c>
      <c r="C63" s="273">
        <v>0.125</v>
      </c>
      <c r="D63" s="317">
        <v>5134</v>
      </c>
    </row>
    <row r="64" spans="1:4" x14ac:dyDescent="0.25">
      <c r="A64" s="315" t="s">
        <v>915</v>
      </c>
      <c r="B64" s="316">
        <v>0.500000004</v>
      </c>
      <c r="C64" s="273">
        <v>0.500000004</v>
      </c>
      <c r="D64" s="317">
        <v>20536.000164288002</v>
      </c>
    </row>
    <row r="65" spans="1:4" x14ac:dyDescent="0.25">
      <c r="A65" s="315" t="s">
        <v>398</v>
      </c>
      <c r="B65" s="316">
        <v>0.5</v>
      </c>
      <c r="C65" s="273">
        <v>0.5</v>
      </c>
      <c r="D65" s="317">
        <v>38767.5</v>
      </c>
    </row>
    <row r="66" spans="1:4" x14ac:dyDescent="0.25">
      <c r="A66" s="315" t="s">
        <v>411</v>
      </c>
      <c r="B66" s="316">
        <v>1.750000014</v>
      </c>
      <c r="C66" s="273">
        <v>1.750000014</v>
      </c>
      <c r="D66" s="317">
        <v>135686.25108549002</v>
      </c>
    </row>
    <row r="67" spans="1:4" x14ac:dyDescent="0.25">
      <c r="A67" s="315" t="s">
        <v>748</v>
      </c>
      <c r="B67" s="316">
        <v>0.50000000199999994</v>
      </c>
      <c r="C67" s="273">
        <v>0.50000000199999994</v>
      </c>
      <c r="D67" s="317">
        <v>38767.500155069996</v>
      </c>
    </row>
    <row r="68" spans="1:4" x14ac:dyDescent="0.25">
      <c r="A68" s="315" t="s">
        <v>574</v>
      </c>
      <c r="B68" s="316">
        <v>1.5</v>
      </c>
      <c r="C68" s="273">
        <v>1.5</v>
      </c>
      <c r="D68" s="317">
        <v>116302.5</v>
      </c>
    </row>
    <row r="69" spans="1:4" x14ac:dyDescent="0.25">
      <c r="A69" s="315" t="s">
        <v>655</v>
      </c>
      <c r="B69" s="316">
        <v>2.000000016</v>
      </c>
      <c r="C69" s="273">
        <v>2.000000016</v>
      </c>
      <c r="D69" s="317">
        <v>155070.00124056</v>
      </c>
    </row>
    <row r="70" spans="1:4" x14ac:dyDescent="0.25">
      <c r="A70" s="315" t="s">
        <v>622</v>
      </c>
      <c r="B70" s="316">
        <v>0.62499999250000005</v>
      </c>
      <c r="C70" s="273">
        <v>0.62499999250000005</v>
      </c>
      <c r="D70" s="317">
        <v>25669.999691960005</v>
      </c>
    </row>
    <row r="71" spans="1:4" x14ac:dyDescent="0.25">
      <c r="A71" s="315" t="s">
        <v>916</v>
      </c>
      <c r="B71" s="316">
        <v>0.250000002</v>
      </c>
      <c r="C71" s="273">
        <v>0.250000002</v>
      </c>
      <c r="D71" s="317">
        <v>10268.000082144001</v>
      </c>
    </row>
    <row r="72" spans="1:4" x14ac:dyDescent="0.25">
      <c r="A72" s="315" t="s">
        <v>397</v>
      </c>
      <c r="B72" s="316">
        <v>0.75</v>
      </c>
      <c r="C72" s="273">
        <v>0.75</v>
      </c>
      <c r="D72" s="317">
        <v>58151.25</v>
      </c>
    </row>
    <row r="73" spans="1:4" x14ac:dyDescent="0.25">
      <c r="A73" s="315" t="s">
        <v>412</v>
      </c>
      <c r="B73" s="316">
        <v>0.500000004</v>
      </c>
      <c r="C73" s="273">
        <v>0.500000004</v>
      </c>
      <c r="D73" s="317">
        <v>38767.50031014</v>
      </c>
    </row>
    <row r="74" spans="1:4" x14ac:dyDescent="0.25">
      <c r="A74" s="315" t="s">
        <v>716</v>
      </c>
      <c r="B74" s="316">
        <v>1.2500000099999999</v>
      </c>
      <c r="C74" s="273">
        <v>1.2500000099999999</v>
      </c>
      <c r="D74" s="317">
        <v>96918.750775349996</v>
      </c>
    </row>
    <row r="75" spans="1:4" x14ac:dyDescent="0.25">
      <c r="A75" s="315" t="s">
        <v>683</v>
      </c>
      <c r="B75" s="316">
        <v>1.0000000019999999</v>
      </c>
      <c r="C75" s="273">
        <v>1.0000000019999999</v>
      </c>
      <c r="D75" s="317">
        <v>77535.000155069996</v>
      </c>
    </row>
    <row r="76" spans="1:4" x14ac:dyDescent="0.25">
      <c r="A76" s="315" t="s">
        <v>717</v>
      </c>
      <c r="B76" s="316">
        <v>0.500000004</v>
      </c>
      <c r="C76" s="273">
        <v>0.500000004</v>
      </c>
      <c r="D76" s="317">
        <v>20536.000164288002</v>
      </c>
    </row>
    <row r="77" spans="1:4" x14ac:dyDescent="0.25">
      <c r="A77" s="315" t="s">
        <v>924</v>
      </c>
      <c r="B77" s="316">
        <v>0.25</v>
      </c>
      <c r="C77" s="273">
        <v>0.25</v>
      </c>
      <c r="D77" s="317">
        <v>19383.75</v>
      </c>
    </row>
    <row r="78" spans="1:4" x14ac:dyDescent="0.25">
      <c r="A78" s="318" t="s">
        <v>436</v>
      </c>
      <c r="B78" s="319">
        <v>108.25000032789997</v>
      </c>
      <c r="C78" s="320">
        <v>108.25000032789997</v>
      </c>
      <c r="D78" s="321">
        <v>7697817.523260654</v>
      </c>
    </row>
  </sheetData>
  <sheetProtection sheet="1" objects="1" scenarios="1"/>
  <printOptions horizontalCentered="1" gridLines="1"/>
  <pageMargins left="0.70866141732283472" right="0.70866141732283472" top="0.35433070866141736" bottom="0.35433070866141736" header="0.31496062992125984" footer="0.11811023622047245"/>
  <pageSetup paperSize="9" orientation="portrait" r:id="rId2"/>
  <headerFooter>
    <oddFooter>Sida &amp;P av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20"/>
  <sheetViews>
    <sheetView zoomScaleNormal="100" workbookViewId="0">
      <selection activeCell="C10" sqref="C10"/>
    </sheetView>
  </sheetViews>
  <sheetFormatPr defaultRowHeight="15" x14ac:dyDescent="0.25"/>
  <cols>
    <col min="1" max="1" width="73.140625" customWidth="1"/>
    <col min="2" max="2" width="15.5703125" customWidth="1"/>
    <col min="3" max="3" width="29.28515625" customWidth="1"/>
    <col min="4" max="4" width="34.85546875" customWidth="1"/>
    <col min="5" max="5" width="10.85546875" bestFit="1" customWidth="1"/>
  </cols>
  <sheetData>
    <row r="3" spans="1:5" x14ac:dyDescent="0.25">
      <c r="A3" s="60" t="s">
        <v>113</v>
      </c>
      <c r="B3" s="60" t="s">
        <v>57</v>
      </c>
      <c r="C3" s="60" t="s">
        <v>0</v>
      </c>
      <c r="D3" s="60" t="s">
        <v>280</v>
      </c>
      <c r="E3" s="60" t="s">
        <v>8</v>
      </c>
    </row>
    <row r="4" spans="1:5" x14ac:dyDescent="0.25">
      <c r="A4" t="s">
        <v>401</v>
      </c>
      <c r="B4" t="s">
        <v>471</v>
      </c>
      <c r="C4" t="s">
        <v>131</v>
      </c>
      <c r="D4" t="s">
        <v>365</v>
      </c>
      <c r="E4" s="229">
        <v>0.33333333333333331</v>
      </c>
    </row>
    <row r="5" spans="1:5" x14ac:dyDescent="0.25">
      <c r="A5" t="s">
        <v>632</v>
      </c>
      <c r="B5" t="s">
        <v>607</v>
      </c>
      <c r="C5" t="s">
        <v>365</v>
      </c>
      <c r="D5" t="s">
        <v>147</v>
      </c>
      <c r="E5" s="229">
        <v>0.26666666666666666</v>
      </c>
    </row>
    <row r="6" spans="1:5" x14ac:dyDescent="0.25">
      <c r="D6" t="s">
        <v>499</v>
      </c>
      <c r="E6" s="229">
        <v>0.26666666666666666</v>
      </c>
    </row>
    <row r="7" spans="1:5" x14ac:dyDescent="0.25">
      <c r="A7" t="s">
        <v>528</v>
      </c>
      <c r="B7" t="s">
        <v>524</v>
      </c>
      <c r="C7" t="s">
        <v>365</v>
      </c>
      <c r="D7" t="s">
        <v>147</v>
      </c>
      <c r="E7" s="229">
        <v>0.26666666666666666</v>
      </c>
    </row>
    <row r="8" spans="1:5" x14ac:dyDescent="0.25">
      <c r="D8" t="s">
        <v>499</v>
      </c>
      <c r="E8" s="229">
        <v>0.26666666666666666</v>
      </c>
    </row>
    <row r="9" spans="1:5" x14ac:dyDescent="0.25">
      <c r="A9" t="s">
        <v>530</v>
      </c>
      <c r="B9" t="s">
        <v>526</v>
      </c>
      <c r="C9" t="s">
        <v>365</v>
      </c>
      <c r="D9" t="s">
        <v>147</v>
      </c>
      <c r="E9" s="229">
        <v>0.26666666666666666</v>
      </c>
    </row>
    <row r="10" spans="1:5" x14ac:dyDescent="0.25">
      <c r="D10" t="s">
        <v>499</v>
      </c>
      <c r="E10" s="229">
        <v>0.26666666666666666</v>
      </c>
    </row>
    <row r="11" spans="1:5" x14ac:dyDescent="0.25">
      <c r="A11" t="s">
        <v>807</v>
      </c>
      <c r="B11" t="s">
        <v>806</v>
      </c>
      <c r="C11" t="s">
        <v>127</v>
      </c>
      <c r="D11" t="s">
        <v>128</v>
      </c>
      <c r="E11" s="229">
        <v>0.5</v>
      </c>
    </row>
    <row r="12" spans="1:5" x14ac:dyDescent="0.25">
      <c r="A12" t="s">
        <v>889</v>
      </c>
      <c r="B12" t="s">
        <v>872</v>
      </c>
      <c r="C12" t="s">
        <v>499</v>
      </c>
      <c r="D12" t="s">
        <v>9</v>
      </c>
      <c r="E12" s="229">
        <v>0.4</v>
      </c>
    </row>
    <row r="13" spans="1:5" x14ac:dyDescent="0.25">
      <c r="A13" t="s">
        <v>724</v>
      </c>
      <c r="B13" t="s">
        <v>712</v>
      </c>
      <c r="C13" t="s">
        <v>147</v>
      </c>
      <c r="D13" t="s">
        <v>470</v>
      </c>
      <c r="E13" s="229">
        <v>0.16666666666666666</v>
      </c>
    </row>
    <row r="14" spans="1:5" x14ac:dyDescent="0.25">
      <c r="A14" t="s">
        <v>392</v>
      </c>
      <c r="B14" t="s">
        <v>695</v>
      </c>
      <c r="C14" t="s">
        <v>147</v>
      </c>
      <c r="D14" t="s">
        <v>197</v>
      </c>
      <c r="E14" s="229">
        <v>0.25</v>
      </c>
    </row>
    <row r="15" spans="1:5" x14ac:dyDescent="0.25">
      <c r="D15" t="s">
        <v>160</v>
      </c>
      <c r="E15" s="229">
        <v>0.15</v>
      </c>
    </row>
    <row r="16" spans="1:5" x14ac:dyDescent="0.25">
      <c r="A16" t="s">
        <v>753</v>
      </c>
      <c r="B16" t="s">
        <v>743</v>
      </c>
      <c r="C16" t="s">
        <v>147</v>
      </c>
      <c r="D16" t="s">
        <v>197</v>
      </c>
      <c r="E16" s="229">
        <v>0.25</v>
      </c>
    </row>
    <row r="17" spans="1:5" x14ac:dyDescent="0.25">
      <c r="A17" t="s">
        <v>400</v>
      </c>
      <c r="B17" t="s">
        <v>399</v>
      </c>
      <c r="C17" t="s">
        <v>147</v>
      </c>
      <c r="D17" t="s">
        <v>470</v>
      </c>
      <c r="E17" s="229">
        <v>0.16666666666666666</v>
      </c>
    </row>
    <row r="18" spans="1:5" x14ac:dyDescent="0.25">
      <c r="A18" t="s">
        <v>540</v>
      </c>
      <c r="B18" t="s">
        <v>535</v>
      </c>
      <c r="C18" t="s">
        <v>147</v>
      </c>
      <c r="D18" t="s">
        <v>499</v>
      </c>
      <c r="E18" s="229">
        <v>0.26666666666666666</v>
      </c>
    </row>
    <row r="19" spans="1:5" x14ac:dyDescent="0.25">
      <c r="A19" t="s">
        <v>537</v>
      </c>
      <c r="B19" t="s">
        <v>532</v>
      </c>
      <c r="C19" t="s">
        <v>499</v>
      </c>
      <c r="D19" t="s">
        <v>147</v>
      </c>
      <c r="E19" s="229">
        <v>0.26666666666666666</v>
      </c>
    </row>
    <row r="20" spans="1:5" x14ac:dyDescent="0.25">
      <c r="A20" t="s">
        <v>436</v>
      </c>
    </row>
  </sheetData>
  <sheetProtection sheet="1" objects="1" scenarios="1"/>
  <pageMargins left="0.70866141732283472" right="0.70866141732283472" top="0.74803149606299213" bottom="0.74803149606299213" header="0.31496062992125984" footer="0.31496062992125984"/>
  <pageSetup paperSize="9" scale="72" fitToHeight="2" orientation="landscape"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3">
    <pageSetUpPr fitToPage="1"/>
  </sheetPr>
  <dimension ref="A1:V17"/>
  <sheetViews>
    <sheetView zoomScaleNormal="100" workbookViewId="0">
      <selection activeCell="C31" sqref="C31"/>
    </sheetView>
  </sheetViews>
  <sheetFormatPr defaultColWidth="8.85546875" defaultRowHeight="15" x14ac:dyDescent="0.25"/>
  <cols>
    <col min="1" max="1" width="14.7109375" style="32" customWidth="1"/>
    <col min="2" max="2" width="63" customWidth="1"/>
    <col min="3" max="3" width="8.7109375" style="32" bestFit="1" customWidth="1"/>
    <col min="4" max="4" width="18.7109375" customWidth="1"/>
    <col min="5" max="5" width="9.42578125" customWidth="1"/>
    <col min="6" max="6" width="12.5703125" style="32" customWidth="1"/>
    <col min="7" max="7" width="9.85546875" customWidth="1"/>
    <col min="8" max="8" width="26.85546875" customWidth="1"/>
    <col min="9" max="9" width="15.42578125" customWidth="1"/>
    <col min="10" max="10" width="11.42578125" bestFit="1" customWidth="1"/>
    <col min="11" max="11" width="11.42578125" customWidth="1"/>
    <col min="12" max="12" width="15.140625" bestFit="1" customWidth="1"/>
    <col min="13" max="13" width="15.140625" customWidth="1"/>
    <col min="14" max="14" width="13.42578125" bestFit="1" customWidth="1"/>
    <col min="15" max="20" width="12.28515625" customWidth="1"/>
    <col min="22" max="22" width="18.5703125" customWidth="1"/>
    <col min="24" max="24" width="10.5703125" customWidth="1"/>
  </cols>
  <sheetData>
    <row r="1" spans="1:22" x14ac:dyDescent="0.25">
      <c r="A1" s="33" t="s">
        <v>57</v>
      </c>
      <c r="B1" s="1" t="s">
        <v>113</v>
      </c>
      <c r="C1" s="33" t="s">
        <v>312</v>
      </c>
      <c r="D1" s="1" t="s">
        <v>280</v>
      </c>
      <c r="E1" s="1" t="s">
        <v>70</v>
      </c>
      <c r="F1" s="33" t="s">
        <v>8</v>
      </c>
      <c r="G1" s="1" t="s">
        <v>281</v>
      </c>
      <c r="H1" s="1" t="s">
        <v>0</v>
      </c>
      <c r="I1" s="1" t="s">
        <v>71</v>
      </c>
      <c r="J1" s="1" t="s">
        <v>1</v>
      </c>
      <c r="K1" s="1" t="s">
        <v>278</v>
      </c>
      <c r="L1" s="1" t="s">
        <v>3</v>
      </c>
      <c r="M1" s="1" t="s">
        <v>279</v>
      </c>
      <c r="N1" s="1" t="s">
        <v>4</v>
      </c>
      <c r="O1" s="1" t="s">
        <v>5</v>
      </c>
      <c r="P1" s="1" t="s">
        <v>318</v>
      </c>
      <c r="Q1" s="1" t="s">
        <v>298</v>
      </c>
      <c r="R1" s="1" t="s">
        <v>6</v>
      </c>
      <c r="S1" s="1" t="s">
        <v>364</v>
      </c>
      <c r="T1" s="1" t="s">
        <v>106</v>
      </c>
      <c r="V1" s="1" t="s">
        <v>341</v>
      </c>
    </row>
    <row r="2" spans="1:22" x14ac:dyDescent="0.25">
      <c r="A2" s="56" t="s">
        <v>524</v>
      </c>
      <c r="B2" t="str">
        <f>VLOOKUP(A2,kurspris!$A$1:$Q$219,2,FALSE)</f>
        <v>Bedömning-avancerad nivå (VAL,ULV)</v>
      </c>
      <c r="C2" s="32">
        <v>2180</v>
      </c>
      <c r="D2" t="str">
        <f>VLOOKUP(C2,Orgenheter!$A$1:$B$214,2)</f>
        <v xml:space="preserve">Pedagogik                     </v>
      </c>
      <c r="E2" t="str">
        <f>VLOOKUP(C2,Orgenheter!$A$1:$C$166,3,FALSE)</f>
        <v>Sam</v>
      </c>
      <c r="F2" s="277">
        <f t="shared" ref="F2:F7" si="0">2/7.5</f>
        <v>0.26666666666666666</v>
      </c>
      <c r="G2">
        <f>VLOOKUP(A2,'Ansvar kurs'!$A$79:$C$348,2,FALSE)</f>
        <v>5740</v>
      </c>
      <c r="H2" t="str">
        <f>VLOOKUP(G2,Orgenheter!$A$1:$B$214,2)</f>
        <v>NMD</v>
      </c>
      <c r="I2" t="str">
        <f>VLOOKUP(G2,Orgenheter!$A$1:$C$166,3,FALSE)</f>
        <v>TekNat</v>
      </c>
      <c r="J2" s="222">
        <f>IF(ISERROR(VLOOKUP(A2,'Totalt pivot'!$A$5:$C$371,2,FALSE)),0,(VLOOKUP(A2,'Totalt pivot'!$A$5:$C$371,2,FALSE)))</f>
        <v>0</v>
      </c>
      <c r="K2" s="222">
        <f t="shared" ref="K2:K5" si="1">F2*J2</f>
        <v>0</v>
      </c>
      <c r="L2" s="222">
        <f>IF(ISERROR(VLOOKUP(A2,'Totalt pivot'!$A$5:$C$371,3,FALSE)),0,(VLOOKUP(A2,'Totalt pivot'!$A$5:$C$371,3,FALSE)))</f>
        <v>0</v>
      </c>
      <c r="M2" s="222">
        <f t="shared" ref="M2:M5" si="2">F2*L2</f>
        <v>0</v>
      </c>
      <c r="N2" s="27">
        <f>VLOOKUP(A2,kurspris!$A$1:$Q$219,15)</f>
        <v>24104</v>
      </c>
      <c r="O2" s="27">
        <f>VLOOKUP(A2,kurspris!$A$1:$Q$219,16)</f>
        <v>31432</v>
      </c>
      <c r="P2" s="27">
        <f>VLOOKUP(A2,kurspris!$A$1:$Q$219,17)</f>
        <v>5900</v>
      </c>
      <c r="Q2" s="27">
        <f t="shared" ref="Q2:Q5" si="3">K2*N2+M2*O2</f>
        <v>0</v>
      </c>
      <c r="R2" s="27">
        <f>(Q2*Prislapp!$R$5)*-1</f>
        <v>0</v>
      </c>
      <c r="S2" s="27">
        <f t="shared" ref="S2:S5" si="4">Q2+R2</f>
        <v>0</v>
      </c>
      <c r="T2" s="27">
        <f t="shared" ref="T2:T5" si="5">K2*P2</f>
        <v>0</v>
      </c>
      <c r="V2" s="38" t="s">
        <v>543</v>
      </c>
    </row>
    <row r="3" spans="1:22" x14ac:dyDescent="0.25">
      <c r="A3" s="56" t="s">
        <v>524</v>
      </c>
      <c r="B3" t="str">
        <f>VLOOKUP(A3,kurspris!$A$1:$Q$219,2,FALSE)</f>
        <v>Bedömning-avancerad nivå (VAL,ULV)</v>
      </c>
      <c r="C3" s="32">
        <v>2193</v>
      </c>
      <c r="D3" t="str">
        <f>VLOOKUP(C3,Orgenheter!$A$1:$B$214,2)</f>
        <v xml:space="preserve">TUV </v>
      </c>
      <c r="E3" t="str">
        <f>VLOOKUP(C3,Orgenheter!$A$1:$C$166,3,FALSE)</f>
        <v>Sam</v>
      </c>
      <c r="F3" s="277">
        <f t="shared" si="0"/>
        <v>0.26666666666666666</v>
      </c>
      <c r="G3">
        <f>VLOOKUP(A3,'Ansvar kurs'!$A$79:$C$348,2,FALSE)</f>
        <v>5740</v>
      </c>
      <c r="H3" t="str">
        <f>VLOOKUP(G3,Orgenheter!$A$1:$B$214,2)</f>
        <v>NMD</v>
      </c>
      <c r="I3" t="str">
        <f>VLOOKUP(G3,Orgenheter!$A$1:$C$166,3,FALSE)</f>
        <v>TekNat</v>
      </c>
      <c r="J3" s="222">
        <f>IF(ISERROR(VLOOKUP(A3,'Totalt pivot'!$A$5:$C$371,2,FALSE)),0,(VLOOKUP(A3,'Totalt pivot'!$A$5:$C$371,2,FALSE)))</f>
        <v>0</v>
      </c>
      <c r="K3" s="222">
        <f t="shared" si="1"/>
        <v>0</v>
      </c>
      <c r="L3" s="222">
        <f>IF(ISERROR(VLOOKUP(A3,'Totalt pivot'!$A$5:$C$371,3,FALSE)),0,(VLOOKUP(A3,'Totalt pivot'!$A$5:$C$371,3,FALSE)))</f>
        <v>0</v>
      </c>
      <c r="M3" s="222">
        <f t="shared" si="2"/>
        <v>0</v>
      </c>
      <c r="N3" s="27">
        <f>VLOOKUP(A3,kurspris!$A$1:$Q$219,15)</f>
        <v>24104</v>
      </c>
      <c r="O3" s="27">
        <f>VLOOKUP(A3,kurspris!$A$1:$Q$219,16)</f>
        <v>31432</v>
      </c>
      <c r="P3" s="27">
        <f>VLOOKUP(A3,kurspris!$A$1:$Q$219,17)</f>
        <v>5900</v>
      </c>
      <c r="Q3" s="27">
        <f t="shared" si="3"/>
        <v>0</v>
      </c>
      <c r="R3" s="27">
        <f>(Q3*Prislapp!$R$5)*-1</f>
        <v>0</v>
      </c>
      <c r="S3" s="27">
        <f t="shared" si="4"/>
        <v>0</v>
      </c>
      <c r="T3" s="27">
        <f t="shared" si="5"/>
        <v>0</v>
      </c>
      <c r="V3" s="38" t="s">
        <v>543</v>
      </c>
    </row>
    <row r="4" spans="1:22" x14ac:dyDescent="0.25">
      <c r="A4" s="56" t="s">
        <v>526</v>
      </c>
      <c r="B4" t="str">
        <f>VLOOKUP(A4,kurspris!$A$1:$Q$219,2,FALSE)</f>
        <v>Bedömning-grundnivå (VAL,ULV)</v>
      </c>
      <c r="C4" s="32">
        <v>2180</v>
      </c>
      <c r="D4" t="str">
        <f>VLOOKUP(C4,Orgenheter!$A$1:$B$214,2)</f>
        <v xml:space="preserve">Pedagogik                     </v>
      </c>
      <c r="E4" t="str">
        <f>VLOOKUP(C4,Orgenheter!$A$1:$C$166,3,FALSE)</f>
        <v>Sam</v>
      </c>
      <c r="F4" s="277">
        <f t="shared" si="0"/>
        <v>0.26666666666666666</v>
      </c>
      <c r="G4">
        <f>VLOOKUP(A4,'Ansvar kurs'!$A$79:$C$348,2,FALSE)</f>
        <v>5740</v>
      </c>
      <c r="H4" t="str">
        <f>VLOOKUP(G4,Orgenheter!$A$1:$B$214,2)</f>
        <v>NMD</v>
      </c>
      <c r="I4" t="str">
        <f>VLOOKUP(G4,Orgenheter!$A$1:$C$166,3,FALSE)</f>
        <v>TekNat</v>
      </c>
      <c r="J4" s="222">
        <f>IF(ISERROR(VLOOKUP(A4,'Totalt pivot'!$A$5:$C$371,2,FALSE)),0,(VLOOKUP(A4,'Totalt pivot'!$A$5:$C$371,2,FALSE)))</f>
        <v>0</v>
      </c>
      <c r="K4" s="222">
        <f t="shared" si="1"/>
        <v>0</v>
      </c>
      <c r="L4" s="222">
        <f>IF(ISERROR(VLOOKUP(A4,'Totalt pivot'!$A$5:$C$371,3,FALSE)),0,(VLOOKUP(A4,'Totalt pivot'!$A$5:$C$371,3,FALSE)))</f>
        <v>0</v>
      </c>
      <c r="M4" s="222">
        <f t="shared" si="2"/>
        <v>0</v>
      </c>
      <c r="N4" s="27">
        <f>VLOOKUP(A4,kurspris!$A$1:$Q$219,15)</f>
        <v>24104</v>
      </c>
      <c r="O4" s="27">
        <f>VLOOKUP(A4,kurspris!$A$1:$Q$219,16)</f>
        <v>31432</v>
      </c>
      <c r="P4" s="27">
        <f>VLOOKUP(A4,kurspris!$A$1:$Q$219,17)</f>
        <v>5900</v>
      </c>
      <c r="Q4" s="27">
        <f t="shared" si="3"/>
        <v>0</v>
      </c>
      <c r="R4" s="27">
        <f>(Q4*Prislapp!$R$5)*-1</f>
        <v>0</v>
      </c>
      <c r="S4" s="27">
        <f t="shared" si="4"/>
        <v>0</v>
      </c>
      <c r="T4" s="27">
        <f t="shared" si="5"/>
        <v>0</v>
      </c>
      <c r="V4" s="38" t="s">
        <v>543</v>
      </c>
    </row>
    <row r="5" spans="1:22" x14ac:dyDescent="0.25">
      <c r="A5" s="56" t="s">
        <v>526</v>
      </c>
      <c r="B5" t="str">
        <f>VLOOKUP(A5,kurspris!$A$1:$Q$219,2,FALSE)</f>
        <v>Bedömning-grundnivå (VAL,ULV)</v>
      </c>
      <c r="C5" s="32">
        <v>2193</v>
      </c>
      <c r="D5" t="str">
        <f>VLOOKUP(C5,Orgenheter!$A$1:$B$214,2)</f>
        <v xml:space="preserve">TUV </v>
      </c>
      <c r="E5" t="str">
        <f>VLOOKUP(C5,Orgenheter!$A$1:$C$166,3,FALSE)</f>
        <v>Sam</v>
      </c>
      <c r="F5" s="277">
        <f t="shared" si="0"/>
        <v>0.26666666666666666</v>
      </c>
      <c r="G5">
        <f>VLOOKUP(A5,'Ansvar kurs'!$A$79:$C$348,2,FALSE)</f>
        <v>5740</v>
      </c>
      <c r="H5" t="str">
        <f>VLOOKUP(G5,Orgenheter!$A$1:$B$214,2)</f>
        <v>NMD</v>
      </c>
      <c r="I5" t="str">
        <f>VLOOKUP(G5,Orgenheter!$A$1:$C$166,3,FALSE)</f>
        <v>TekNat</v>
      </c>
      <c r="J5" s="222">
        <f>IF(ISERROR(VLOOKUP(A5,'Totalt pivot'!$A$5:$C$371,2,FALSE)),0,(VLOOKUP(A5,'Totalt pivot'!$A$5:$C$371,2,FALSE)))</f>
        <v>0</v>
      </c>
      <c r="K5" s="222">
        <f t="shared" si="1"/>
        <v>0</v>
      </c>
      <c r="L5" s="222">
        <f>IF(ISERROR(VLOOKUP(A5,'Totalt pivot'!$A$5:$C$371,3,FALSE)),0,(VLOOKUP(A5,'Totalt pivot'!$A$5:$C$371,3,FALSE)))</f>
        <v>0</v>
      </c>
      <c r="M5" s="222">
        <f t="shared" si="2"/>
        <v>0</v>
      </c>
      <c r="N5" s="27">
        <f>VLOOKUP(A5,kurspris!$A$1:$Q$219,15)</f>
        <v>24104</v>
      </c>
      <c r="O5" s="27">
        <f>VLOOKUP(A5,kurspris!$A$1:$Q$219,16)</f>
        <v>31432</v>
      </c>
      <c r="P5" s="27">
        <f>VLOOKUP(A5,kurspris!$A$1:$Q$219,17)</f>
        <v>5900</v>
      </c>
      <c r="Q5" s="27">
        <f t="shared" si="3"/>
        <v>0</v>
      </c>
      <c r="R5" s="27">
        <f>(Q5*Prislapp!$R$5)*-1</f>
        <v>0</v>
      </c>
      <c r="S5" s="27">
        <f t="shared" si="4"/>
        <v>0</v>
      </c>
      <c r="T5" s="27">
        <f t="shared" si="5"/>
        <v>0</v>
      </c>
      <c r="V5" s="38" t="s">
        <v>543</v>
      </c>
    </row>
    <row r="6" spans="1:22" x14ac:dyDescent="0.25">
      <c r="A6" s="56" t="s">
        <v>607</v>
      </c>
      <c r="B6" t="str">
        <f>VLOOKUP(A6,kurspris!$A$1:$Q$219,2,FALSE)</f>
        <v>Bedömning - grundnivå (VAL, ULV)</v>
      </c>
      <c r="C6" s="32">
        <v>2180</v>
      </c>
      <c r="D6" t="str">
        <f>VLOOKUP(C6,Orgenheter!$A$1:$B$214,2)</f>
        <v xml:space="preserve">Pedagogik                     </v>
      </c>
      <c r="E6" t="str">
        <f>VLOOKUP(C6,Orgenheter!$A$1:$C$166,3,FALSE)</f>
        <v>Sam</v>
      </c>
      <c r="F6" s="277">
        <f t="shared" si="0"/>
        <v>0.26666666666666666</v>
      </c>
      <c r="G6">
        <f>VLOOKUP(A6,'Ansvar kurs'!$A$79:$C$348,2,FALSE)</f>
        <v>5740</v>
      </c>
      <c r="H6" t="str">
        <f>VLOOKUP(G6,Orgenheter!$A$1:$B$214,2)</f>
        <v>NMD</v>
      </c>
      <c r="I6" t="str">
        <f>VLOOKUP(G6,Orgenheter!$A$1:$C$166,3,FALSE)</f>
        <v>TekNat</v>
      </c>
      <c r="J6" s="222">
        <f>IF(ISERROR(VLOOKUP(A6,'Totalt pivot'!$A$5:$C$371,2,FALSE)),0,(VLOOKUP(A6,'Totalt pivot'!$A$5:$C$371,2,FALSE)))</f>
        <v>11.8750001325</v>
      </c>
      <c r="K6" s="222">
        <f t="shared" ref="K6:K7" si="6">F6*J6</f>
        <v>3.1666667020000001</v>
      </c>
      <c r="L6" s="222">
        <f>IF(ISERROR(VLOOKUP(A6,'Totalt pivot'!$A$5:$C$371,3,FALSE)),0,(VLOOKUP(A6,'Totalt pivot'!$A$5:$C$371,3,FALSE)))</f>
        <v>11.8750001325</v>
      </c>
      <c r="M6" s="222">
        <f t="shared" ref="M6:M7" si="7">F6*L6</f>
        <v>3.1666667020000001</v>
      </c>
      <c r="N6" s="27">
        <f>VLOOKUP(A6,kurspris!$A$1:$Q$219,15)</f>
        <v>24104</v>
      </c>
      <c r="O6" s="27">
        <f>VLOOKUP(A6,kurspris!$A$1:$Q$219,16)</f>
        <v>31432</v>
      </c>
      <c r="P6" s="27">
        <f>VLOOKUP(A6,kurspris!$A$1:$Q$219,17)</f>
        <v>5900</v>
      </c>
      <c r="Q6" s="27">
        <f t="shared" ref="Q6:Q7" si="8">K6*N6+M6*O6</f>
        <v>175864.00196227201</v>
      </c>
      <c r="R6" s="27">
        <f>(Q6*Prislapp!$R$5)*-1</f>
        <v>-12310.480137359042</v>
      </c>
      <c r="S6" s="27">
        <f t="shared" ref="S6:S7" si="9">Q6+R6</f>
        <v>163553.52182491298</v>
      </c>
      <c r="T6" s="27">
        <f t="shared" ref="T6:T7" si="10">K6*P6</f>
        <v>18683.333541800002</v>
      </c>
      <c r="V6" s="38"/>
    </row>
    <row r="7" spans="1:22" x14ac:dyDescent="0.25">
      <c r="A7" s="56" t="s">
        <v>607</v>
      </c>
      <c r="B7" t="str">
        <f>VLOOKUP(A7,kurspris!$A$1:$Q$219,2,FALSE)</f>
        <v>Bedömning - grundnivå (VAL, ULV)</v>
      </c>
      <c r="C7" s="32">
        <v>2193</v>
      </c>
      <c r="D7" t="str">
        <f>VLOOKUP(C7,Orgenheter!$A$1:$B$214,2)</f>
        <v xml:space="preserve">TUV </v>
      </c>
      <c r="E7" t="str">
        <f>VLOOKUP(C7,Orgenheter!$A$1:$C$166,3,FALSE)</f>
        <v>Sam</v>
      </c>
      <c r="F7" s="277">
        <f t="shared" si="0"/>
        <v>0.26666666666666666</v>
      </c>
      <c r="G7">
        <f>VLOOKUP(A7,'Ansvar kurs'!$A$79:$C$348,2,FALSE)</f>
        <v>5740</v>
      </c>
      <c r="H7" t="str">
        <f>VLOOKUP(G7,Orgenheter!$A$1:$B$214,2)</f>
        <v>NMD</v>
      </c>
      <c r="I7" t="str">
        <f>VLOOKUP(G7,Orgenheter!$A$1:$C$166,3,FALSE)</f>
        <v>TekNat</v>
      </c>
      <c r="J7" s="222">
        <f>IF(ISERROR(VLOOKUP(A7,'Totalt pivot'!$A$5:$C$371,2,FALSE)),0,(VLOOKUP(A7,'Totalt pivot'!$A$5:$C$371,2,FALSE)))</f>
        <v>11.8750001325</v>
      </c>
      <c r="K7" s="222">
        <f t="shared" si="6"/>
        <v>3.1666667020000001</v>
      </c>
      <c r="L7" s="222">
        <f>IF(ISERROR(VLOOKUP(A7,'Totalt pivot'!$A$5:$C$371,3,FALSE)),0,(VLOOKUP(A7,'Totalt pivot'!$A$5:$C$371,3,FALSE)))</f>
        <v>11.8750001325</v>
      </c>
      <c r="M7" s="222">
        <f t="shared" si="7"/>
        <v>3.1666667020000001</v>
      </c>
      <c r="N7" s="27">
        <f>VLOOKUP(A7,kurspris!$A$1:$Q$219,15)</f>
        <v>24104</v>
      </c>
      <c r="O7" s="27">
        <f>VLOOKUP(A7,kurspris!$A$1:$Q$219,16)</f>
        <v>31432</v>
      </c>
      <c r="P7" s="27">
        <f>VLOOKUP(A7,kurspris!$A$1:$Q$219,17)</f>
        <v>5900</v>
      </c>
      <c r="Q7" s="27">
        <f t="shared" si="8"/>
        <v>175864.00196227201</v>
      </c>
      <c r="R7" s="27">
        <f>(Q7*Prislapp!$R$5)*-1</f>
        <v>-12310.480137359042</v>
      </c>
      <c r="S7" s="27">
        <f t="shared" si="9"/>
        <v>163553.52182491298</v>
      </c>
      <c r="T7" s="27">
        <f t="shared" si="10"/>
        <v>18683.333541800002</v>
      </c>
      <c r="V7" s="38"/>
    </row>
    <row r="8" spans="1:22" x14ac:dyDescent="0.25">
      <c r="A8" s="32" t="s">
        <v>695</v>
      </c>
      <c r="B8" t="str">
        <f>VLOOKUP(A8,kurspris!$A$1:$Q$219,2,FALSE)</f>
        <v>Idrott och hälsa I</v>
      </c>
      <c r="C8" s="32">
        <v>3306</v>
      </c>
      <c r="D8" t="str">
        <f>VLOOKUP(C8,Orgenheter!$A$1:$B$214,2)</f>
        <v xml:space="preserve">Idrottsmedicin                </v>
      </c>
      <c r="E8" t="str">
        <f>VLOOKUP(C8,Orgenheter!$A$1:$C$166,3,FALSE)</f>
        <v>Med</v>
      </c>
      <c r="F8" s="277">
        <v>0.25</v>
      </c>
      <c r="G8">
        <f>VLOOKUP(A8,'Ansvar kurs'!$A$79:$C$348,2,FALSE)</f>
        <v>2180</v>
      </c>
      <c r="H8" t="str">
        <f>VLOOKUP(G8,Orgenheter!$A$1:$B$214,2)</f>
        <v xml:space="preserve">Pedagogik                     </v>
      </c>
      <c r="I8" t="str">
        <f>VLOOKUP(G8,Orgenheter!$A$1:$C$166,3,FALSE)</f>
        <v>Sam</v>
      </c>
      <c r="J8" s="222">
        <f>IF(ISERROR(VLOOKUP(A8,'Totalt pivot'!$A$5:$C$371,2,FALSE)),0,(VLOOKUP(A8,'Totalt pivot'!$A$5:$C$371,2,FALSE)))</f>
        <v>0</v>
      </c>
      <c r="K8" s="222">
        <f t="shared" ref="K8:K14" si="11">F8*J8</f>
        <v>0</v>
      </c>
      <c r="L8" s="222">
        <f>IF(ISERROR(VLOOKUP(A8,'Totalt pivot'!$A$5:$C$371,3,FALSE)),0,(VLOOKUP(A8,'Totalt pivot'!$A$5:$C$371,3,FALSE)))</f>
        <v>0</v>
      </c>
      <c r="M8" s="222">
        <f t="shared" ref="M8:M14" si="12">F8*L8</f>
        <v>0</v>
      </c>
      <c r="N8" s="27">
        <f>VLOOKUP(A8,kurspris!$A$1:$Q$219,15)</f>
        <v>45856</v>
      </c>
      <c r="O8" s="27">
        <f>VLOOKUP(A8,kurspris!$A$1:$Q$219,16)</f>
        <v>34830</v>
      </c>
      <c r="P8" s="27">
        <f>VLOOKUP(A8,kurspris!$A$1:$Q$219,17)</f>
        <v>35200</v>
      </c>
      <c r="Q8" s="27">
        <f t="shared" ref="Q8:Q14" si="13">K8*N8+M8*O8</f>
        <v>0</v>
      </c>
      <c r="R8" s="27">
        <f>(Q8*Prislapp!$R$5)*-1</f>
        <v>0</v>
      </c>
      <c r="S8" s="27">
        <f t="shared" ref="S8:S14" si="14">Q8+R8</f>
        <v>0</v>
      </c>
      <c r="T8" s="27">
        <f t="shared" ref="T8:T14" si="15">K8*P8</f>
        <v>0</v>
      </c>
    </row>
    <row r="9" spans="1:22" x14ac:dyDescent="0.25">
      <c r="A9" s="32" t="s">
        <v>695</v>
      </c>
      <c r="B9" t="str">
        <f>VLOOKUP(A9,kurspris!$A$1:$Q$219,2,FALSE)</f>
        <v>Idrott och hälsa I</v>
      </c>
      <c r="C9" s="32">
        <v>2650</v>
      </c>
      <c r="D9" t="str">
        <f>VLOOKUP(C9,Orgenheter!$A$1:$B$214,2)</f>
        <v xml:space="preserve">Kostvetenskap                 </v>
      </c>
      <c r="E9" t="str">
        <f>VLOOKUP(C9,Orgenheter!$A$1:$C$166,3,FALSE)</f>
        <v>Sam</v>
      </c>
      <c r="F9" s="277">
        <v>0.15</v>
      </c>
      <c r="G9">
        <f>VLOOKUP(A9,'Ansvar kurs'!$A$79:$C$348,2,FALSE)</f>
        <v>2180</v>
      </c>
      <c r="H9" t="str">
        <f>VLOOKUP(G9,Orgenheter!$A$1:$B$214,2)</f>
        <v xml:space="preserve">Pedagogik                     </v>
      </c>
      <c r="I9" t="str">
        <f>VLOOKUP(G9,Orgenheter!$A$1:$C$166,3,FALSE)</f>
        <v>Sam</v>
      </c>
      <c r="J9" s="222">
        <f>IF(ISERROR(VLOOKUP(A9,'Totalt pivot'!$A$5:$C$371,2,FALSE)),0,(VLOOKUP(A9,'Totalt pivot'!$A$5:$C$371,2,FALSE)))</f>
        <v>0</v>
      </c>
      <c r="K9" s="222">
        <f t="shared" si="11"/>
        <v>0</v>
      </c>
      <c r="L9" s="222">
        <f>IF(ISERROR(VLOOKUP(A9,'Totalt pivot'!$A$5:$C$371,3,FALSE)),0,(VLOOKUP(A9,'Totalt pivot'!$A$5:$C$371,3,FALSE)))</f>
        <v>0</v>
      </c>
      <c r="M9" s="222">
        <f t="shared" si="12"/>
        <v>0</v>
      </c>
      <c r="N9" s="27">
        <f>VLOOKUP(A9,kurspris!$A$1:$Q$219,15)</f>
        <v>45856</v>
      </c>
      <c r="O9" s="27">
        <f>VLOOKUP(A9,kurspris!$A$1:$Q$219,16)</f>
        <v>34830</v>
      </c>
      <c r="P9" s="27">
        <f>VLOOKUP(A9,kurspris!$A$1:$Q$219,17)</f>
        <v>35200</v>
      </c>
      <c r="Q9" s="27">
        <f t="shared" si="13"/>
        <v>0</v>
      </c>
      <c r="R9" s="27">
        <f>(Q9*Prislapp!$R$5)*-1</f>
        <v>0</v>
      </c>
      <c r="S9" s="27">
        <f t="shared" si="14"/>
        <v>0</v>
      </c>
      <c r="T9" s="27">
        <f t="shared" si="15"/>
        <v>0</v>
      </c>
    </row>
    <row r="10" spans="1:22" x14ac:dyDescent="0.25">
      <c r="A10" s="59" t="s">
        <v>712</v>
      </c>
      <c r="B10" t="str">
        <f>VLOOKUP(A10,kurspris!$A$1:$Q$219,2,FALSE)</f>
        <v>Idrott och hälsa 3</v>
      </c>
      <c r="C10" s="32">
        <v>3850</v>
      </c>
      <c r="D10" t="str">
        <f>VLOOKUP(C10,Orgenheter!$A$1:$B$214,2)</f>
        <v>Epidemiologi och global hälsa</v>
      </c>
      <c r="E10" t="str">
        <f>VLOOKUP(C10,Orgenheter!$A$1:$C$166,3,FALSE)</f>
        <v>Med</v>
      </c>
      <c r="F10" s="277">
        <f>5/30</f>
        <v>0.16666666666666666</v>
      </c>
      <c r="G10">
        <f>VLOOKUP(A10,'Ansvar kurs'!$A$79:$C$348,2,FALSE)</f>
        <v>2180</v>
      </c>
      <c r="H10" t="str">
        <f>VLOOKUP(G10,Orgenheter!$A$1:$B$214,2)</f>
        <v xml:space="preserve">Pedagogik                     </v>
      </c>
      <c r="I10" t="str">
        <f>VLOOKUP(G10,Orgenheter!$A$1:$C$166,3,FALSE)</f>
        <v>Sam</v>
      </c>
      <c r="J10" s="222">
        <f>IF(ISERROR(VLOOKUP(A10,'Totalt pivot'!$A$5:$C$371,2,FALSE)),0,(VLOOKUP(A10,'Totalt pivot'!$A$5:$C$371,2,FALSE)))</f>
        <v>0.500000004</v>
      </c>
      <c r="K10" s="222">
        <f t="shared" ref="K10" si="16">F10*J10</f>
        <v>8.3333333999999995E-2</v>
      </c>
      <c r="L10" s="222">
        <f>IF(ISERROR(VLOOKUP(A10,'Totalt pivot'!$A$5:$C$371,3,FALSE)),0,(VLOOKUP(A10,'Totalt pivot'!$A$5:$C$371,3,FALSE)))</f>
        <v>0.500000004</v>
      </c>
      <c r="M10" s="222">
        <f t="shared" ref="M10" si="17">F10*L10</f>
        <v>8.3333333999999995E-2</v>
      </c>
      <c r="N10" s="27">
        <f>VLOOKUP(A10,kurspris!$A$1:$Q$219,15)</f>
        <v>45856</v>
      </c>
      <c r="O10" s="27">
        <f>VLOOKUP(A10,kurspris!$A$1:$Q$219,16)</f>
        <v>34830</v>
      </c>
      <c r="P10" s="27">
        <f>VLOOKUP(A10,kurspris!$A$1:$Q$219,17)</f>
        <v>35200</v>
      </c>
      <c r="Q10" s="27">
        <f t="shared" ref="Q10" si="18">K10*N10+M10*O10</f>
        <v>6723.8333871239993</v>
      </c>
      <c r="R10" s="27">
        <f>(Q10*Prislapp!$R$5)*-1</f>
        <v>-470.66833709868001</v>
      </c>
      <c r="S10" s="27">
        <f t="shared" ref="S10" si="19">Q10+R10</f>
        <v>6253.165050025319</v>
      </c>
      <c r="T10" s="27">
        <f t="shared" ref="T10" si="20">K10*P10</f>
        <v>2933.3333567999998</v>
      </c>
      <c r="V10" t="s">
        <v>728</v>
      </c>
    </row>
    <row r="11" spans="1:22" x14ac:dyDescent="0.25">
      <c r="A11" s="32" t="s">
        <v>399</v>
      </c>
      <c r="B11" t="str">
        <f>VLOOKUP(A11,kurspris!$A$1:$Q$219,2,FALSE)</f>
        <v>Idrott och hälsa III</v>
      </c>
      <c r="C11" s="32">
        <v>3850</v>
      </c>
      <c r="D11" t="str">
        <f>VLOOKUP(C11,Orgenheter!$A$1:$B$214,2)</f>
        <v>Epidemiologi och global hälsa</v>
      </c>
      <c r="E11" t="str">
        <f>VLOOKUP(C11,Orgenheter!$A$1:$C$166,3,FALSE)</f>
        <v>Med</v>
      </c>
      <c r="F11" s="277">
        <f>5/30</f>
        <v>0.16666666666666666</v>
      </c>
      <c r="G11">
        <f>VLOOKUP(A11,'Ansvar kurs'!$A$79:$C$348,2,FALSE)</f>
        <v>2180</v>
      </c>
      <c r="H11" t="str">
        <f>VLOOKUP(G11,Orgenheter!$A$1:$B$214,2)</f>
        <v xml:space="preserve">Pedagogik                     </v>
      </c>
      <c r="I11" t="str">
        <f>VLOOKUP(G11,Orgenheter!$A$1:$C$166,3,FALSE)</f>
        <v>Sam</v>
      </c>
      <c r="J11" s="222">
        <f>IF(ISERROR(VLOOKUP(A11,'Totalt pivot'!$A$5:$C$371,2,FALSE)),0,(VLOOKUP(A11,'Totalt pivot'!$A$5:$C$371,2,FALSE)))</f>
        <v>0</v>
      </c>
      <c r="K11" s="222">
        <f t="shared" si="11"/>
        <v>0</v>
      </c>
      <c r="L11" s="222">
        <f>IF(ISERROR(VLOOKUP(A11,'Totalt pivot'!$A$5:$C$371,3,FALSE)),0,(VLOOKUP(A11,'Totalt pivot'!$A$5:$C$371,3,FALSE)))</f>
        <v>0</v>
      </c>
      <c r="M11" s="222">
        <f t="shared" si="12"/>
        <v>0</v>
      </c>
      <c r="N11" s="27">
        <f>VLOOKUP(A11,kurspris!$A$1:$Q$219,15)</f>
        <v>45856</v>
      </c>
      <c r="O11" s="27">
        <f>VLOOKUP(A11,kurspris!$A$1:$Q$219,16)</f>
        <v>34830</v>
      </c>
      <c r="P11" s="27">
        <f>VLOOKUP(A11,kurspris!$A$1:$Q$219,17)</f>
        <v>35200</v>
      </c>
      <c r="Q11" s="27">
        <f t="shared" si="13"/>
        <v>0</v>
      </c>
      <c r="R11" s="27">
        <f>(Q11*Prislapp!$R$5)*-1</f>
        <v>0</v>
      </c>
      <c r="S11" s="27">
        <f t="shared" si="14"/>
        <v>0</v>
      </c>
      <c r="T11" s="27">
        <f t="shared" si="15"/>
        <v>0</v>
      </c>
    </row>
    <row r="12" spans="1:22" x14ac:dyDescent="0.25">
      <c r="A12" s="32" t="s">
        <v>743</v>
      </c>
      <c r="B12" t="str">
        <f>VLOOKUP(A12,kurspris!$A$1:$Q$219,2,FALSE)</f>
        <v>Idrott och hälsa II för gymnasieskolan</v>
      </c>
      <c r="C12" s="32">
        <v>3306</v>
      </c>
      <c r="D12" t="str">
        <f>VLOOKUP(C12,Orgenheter!$A$1:$B$214,2)</f>
        <v xml:space="preserve">Idrottsmedicin                </v>
      </c>
      <c r="E12" t="str">
        <f>VLOOKUP(C12,Orgenheter!$A$1:$C$166,3,FALSE)</f>
        <v>Med</v>
      </c>
      <c r="F12" s="277">
        <v>0.25</v>
      </c>
      <c r="G12">
        <f>VLOOKUP(A12,'Ansvar kurs'!$A$79:$C$348,2,FALSE)</f>
        <v>2180</v>
      </c>
      <c r="H12" t="str">
        <f>VLOOKUP(G12,Orgenheter!$A$1:$B$214,2)</f>
        <v xml:space="preserve">Pedagogik                     </v>
      </c>
      <c r="I12" t="str">
        <f>VLOOKUP(G12,Orgenheter!$A$1:$C$166,3,FALSE)</f>
        <v>Sam</v>
      </c>
      <c r="J12" s="222">
        <f>IF(ISERROR(VLOOKUP(A12,'Totalt pivot'!$A$5:$C$371,2,FALSE)),0,(VLOOKUP(A12,'Totalt pivot'!$A$5:$C$371,2,FALSE)))</f>
        <v>0</v>
      </c>
      <c r="K12" s="222">
        <f t="shared" ref="K12" si="21">F12*J12</f>
        <v>0</v>
      </c>
      <c r="L12" s="222">
        <f>IF(ISERROR(VLOOKUP(A12,'Totalt pivot'!$A$5:$C$371,3,FALSE)),0,(VLOOKUP(A12,'Totalt pivot'!$A$5:$C$371,3,FALSE)))</f>
        <v>0</v>
      </c>
      <c r="M12" s="222">
        <f t="shared" ref="M12" si="22">F12*L12</f>
        <v>0</v>
      </c>
      <c r="N12" s="27">
        <f>VLOOKUP(A12,kurspris!$A$1:$Q$219,15)</f>
        <v>45856</v>
      </c>
      <c r="O12" s="27">
        <f>VLOOKUP(A12,kurspris!$A$1:$Q$219,16)</f>
        <v>34830</v>
      </c>
      <c r="P12" s="27">
        <f>VLOOKUP(A12,kurspris!$A$1:$Q$219,17)</f>
        <v>35200</v>
      </c>
      <c r="Q12" s="27">
        <f t="shared" ref="Q12" si="23">K12*N12+M12*O12</f>
        <v>0</v>
      </c>
      <c r="R12" s="27">
        <f>(Q12*Prislapp!$R$5)*-1</f>
        <v>0</v>
      </c>
      <c r="S12" s="27">
        <f t="shared" ref="S12" si="24">Q12+R12</f>
        <v>0</v>
      </c>
      <c r="T12" s="27">
        <f t="shared" ref="T12" si="25">K12*P12</f>
        <v>0</v>
      </c>
    </row>
    <row r="13" spans="1:22" x14ac:dyDescent="0.25">
      <c r="A13" s="32" t="s">
        <v>806</v>
      </c>
      <c r="B13" t="str">
        <f>VLOOKUP(A13,kurspris!$A$1:$Q$219,2,FALSE)</f>
        <v>Demokrati, individ och samhälle</v>
      </c>
      <c r="C13" s="32">
        <v>1640</v>
      </c>
      <c r="D13" t="str">
        <f>VLOOKUP(C13,Orgenheter!$A$1:$B$214,2)</f>
        <v>Inst för kultur- o medievetenskap</v>
      </c>
      <c r="E13" t="str">
        <f>VLOOKUP(C13,Orgenheter!$A$1:$C$166,3,FALSE)</f>
        <v>Hum</v>
      </c>
      <c r="F13" s="277">
        <v>0.5</v>
      </c>
      <c r="G13">
        <f>VLOOKUP(A13,'Ansvar kurs'!$A$79:$C$348,2,FALSE)</f>
        <v>1630</v>
      </c>
      <c r="H13" t="str">
        <f>VLOOKUP(G13,Orgenheter!$A$1:$B$214,2)</f>
        <v>Inst för ide- o samhällsstudier</v>
      </c>
      <c r="I13" t="str">
        <f>VLOOKUP(G13,Orgenheter!$A$1:$C$166,3,FALSE)</f>
        <v>Hum</v>
      </c>
      <c r="J13" s="222">
        <f>IF(ISERROR(VLOOKUP(A13,'Totalt pivot'!$A$5:$C$371,2,FALSE)),0,(VLOOKUP(A13,'Totalt pivot'!$A$5:$C$371,2,FALSE)))</f>
        <v>0</v>
      </c>
      <c r="K13" s="222">
        <f t="shared" ref="K13" si="26">F13*J13</f>
        <v>0</v>
      </c>
      <c r="L13" s="222">
        <f>IF(ISERROR(VLOOKUP(A13,'Totalt pivot'!$A$5:$C$371,3,FALSE)),0,(VLOOKUP(A13,'Totalt pivot'!$A$5:$C$371,3,FALSE)))</f>
        <v>0</v>
      </c>
      <c r="M13" s="222">
        <f t="shared" ref="M13" si="27">F13*L13</f>
        <v>0</v>
      </c>
      <c r="N13" s="27">
        <f>VLOOKUP(A13,kurspris!$A$1:$Q$219,15)</f>
        <v>24104</v>
      </c>
      <c r="O13" s="27">
        <f>VLOOKUP(A13,kurspris!$A$1:$Q$219,16)</f>
        <v>31432</v>
      </c>
      <c r="P13" s="27">
        <f>VLOOKUP(A13,kurspris!$A$1:$Q$219,17)</f>
        <v>5900</v>
      </c>
      <c r="Q13" s="27">
        <f t="shared" ref="Q13" si="28">K13*N13+M13*O13</f>
        <v>0</v>
      </c>
      <c r="R13" s="27">
        <f>(Q13*Prislapp!$R$5)*-1</f>
        <v>0</v>
      </c>
      <c r="S13" s="27">
        <f t="shared" ref="S13" si="29">Q13+R13</f>
        <v>0</v>
      </c>
      <c r="T13" s="27">
        <f t="shared" ref="T13" si="30">K13*P13</f>
        <v>0</v>
      </c>
    </row>
    <row r="14" spans="1:22" x14ac:dyDescent="0.25">
      <c r="A14" s="59" t="s">
        <v>471</v>
      </c>
      <c r="B14" t="str">
        <f>VLOOKUP(A14,kurspris!$A$1:$Q$219,2,FALSE)</f>
        <v>Att undervisa i F-3</v>
      </c>
      <c r="C14" s="32">
        <v>5740</v>
      </c>
      <c r="D14" t="str">
        <f>VLOOKUP(C14,Orgenheter!$A$1:$B$214,2)</f>
        <v>NMD</v>
      </c>
      <c r="E14" t="str">
        <f>VLOOKUP(C14,Orgenheter!$A$1:$C$166,3,FALSE)</f>
        <v>TekNat</v>
      </c>
      <c r="F14" s="277">
        <f>2/6</f>
        <v>0.33333333333333331</v>
      </c>
      <c r="G14">
        <f>VLOOKUP(A14,'Ansvar kurs'!$A$79:$C$348,2,FALSE)</f>
        <v>1620</v>
      </c>
      <c r="H14" t="str">
        <f>VLOOKUP(G14,Orgenheter!$A$1:$B$214,2)</f>
        <v>Inst för språkstudier</v>
      </c>
      <c r="I14" t="str">
        <f>VLOOKUP(G14,Orgenheter!$A$1:$C$166,3,FALSE)</f>
        <v>Hum</v>
      </c>
      <c r="J14" s="222">
        <f>IF(ISERROR(VLOOKUP(A14,'Totalt pivot'!$A$5:$C$371,2,FALSE)),0,(VLOOKUP(A14,'Totalt pivot'!$A$5:$C$371,2,FALSE)))</f>
        <v>0</v>
      </c>
      <c r="K14" s="222">
        <f t="shared" si="11"/>
        <v>0</v>
      </c>
      <c r="L14" s="222">
        <f>IF(ISERROR(VLOOKUP(A14,'Totalt pivot'!$A$5:$C$371,3,FALSE)),0,(VLOOKUP(A14,'Totalt pivot'!$A$5:$C$371,3,FALSE)))</f>
        <v>0</v>
      </c>
      <c r="M14" s="222">
        <f t="shared" si="12"/>
        <v>0</v>
      </c>
      <c r="N14" s="27">
        <f>VLOOKUP(A14,kurspris!$A$1:$Q$219,15)</f>
        <v>24740</v>
      </c>
      <c r="O14" s="27">
        <f>VLOOKUP(A14,kurspris!$A$1:$Q$219,16)</f>
        <v>27503</v>
      </c>
      <c r="P14" s="27">
        <f>VLOOKUP(A14,kurspris!$A$1:$Q$219,17)</f>
        <v>3500</v>
      </c>
      <c r="Q14" s="27">
        <f t="shared" si="13"/>
        <v>0</v>
      </c>
      <c r="R14" s="27">
        <f>(Q14*Prislapp!$R$5)*-1</f>
        <v>0</v>
      </c>
      <c r="S14" s="27">
        <f t="shared" si="14"/>
        <v>0</v>
      </c>
      <c r="T14" s="27">
        <f t="shared" si="15"/>
        <v>0</v>
      </c>
      <c r="V14" s="38" t="s">
        <v>472</v>
      </c>
    </row>
    <row r="15" spans="1:22" x14ac:dyDescent="0.25">
      <c r="A15" s="59" t="s">
        <v>872</v>
      </c>
      <c r="B15" t="str">
        <f>VLOOKUP(A15,kurspris!$A$1:$Q$219,2,FALSE)</f>
        <v>Grupprocesser och samverkan ur ett fritidshemsperspektiv</v>
      </c>
      <c r="C15" s="32">
        <v>1650</v>
      </c>
      <c r="D15" t="str">
        <f>VLOOKUP(C15,Orgenheter!$A$1:$B$214,2)</f>
        <v xml:space="preserve">Estetiska ämnen               </v>
      </c>
      <c r="E15" t="str">
        <f>VLOOKUP(C15,Orgenheter!$A$1:$C$166,3,FALSE)</f>
        <v>Hum</v>
      </c>
      <c r="F15" s="277">
        <v>0.4</v>
      </c>
      <c r="G15">
        <f>VLOOKUP(A15,'Ansvar kurs'!$A$79:$C$348,2,FALSE)</f>
        <v>2193</v>
      </c>
      <c r="H15" t="str">
        <f>VLOOKUP(G15,Orgenheter!$A$1:$B$214,2)</f>
        <v xml:space="preserve">TUV </v>
      </c>
      <c r="I15" t="str">
        <f>VLOOKUP(G15,Orgenheter!$A$1:$C$166,3,FALSE)</f>
        <v>Sam</v>
      </c>
      <c r="J15" s="222">
        <f>IF(ISERROR(VLOOKUP(A15,'Totalt pivot'!$A$5:$C$371,2,FALSE)),0,(VLOOKUP(A15,'Totalt pivot'!$A$5:$C$371,2,FALSE)))</f>
        <v>0.125</v>
      </c>
      <c r="K15" s="222">
        <f t="shared" ref="K15" si="31">F15*J15</f>
        <v>0.05</v>
      </c>
      <c r="L15" s="222">
        <f>IF(ISERROR(VLOOKUP(A15,'Totalt pivot'!$A$5:$C$371,3,FALSE)),0,(VLOOKUP(A15,'Totalt pivot'!$A$5:$C$371,3,FALSE)))</f>
        <v>0.125</v>
      </c>
      <c r="M15" s="222">
        <f t="shared" ref="M15" si="32">F15*L15</f>
        <v>0.05</v>
      </c>
      <c r="N15" s="27">
        <f>VLOOKUP(A15,kurspris!$A$1:$Q$219,15)</f>
        <v>19097</v>
      </c>
      <c r="O15" s="27">
        <f>VLOOKUP(A15,kurspris!$A$1:$Q$219,16)</f>
        <v>16075</v>
      </c>
      <c r="P15" s="27">
        <f>VLOOKUP(A15,kurspris!$A$1:$Q$219,17)</f>
        <v>5900</v>
      </c>
      <c r="Q15" s="27">
        <f t="shared" ref="Q15" si="33">K15*N15+M15*O15</f>
        <v>1758.6</v>
      </c>
      <c r="R15" s="27">
        <f>(Q15*Prislapp!$R$5)*-1</f>
        <v>-123.102</v>
      </c>
      <c r="S15" s="27">
        <f t="shared" ref="S15" si="34">Q15+R15</f>
        <v>1635.4979999999998</v>
      </c>
      <c r="T15" s="27">
        <f t="shared" ref="T15" si="35">K15*P15</f>
        <v>295</v>
      </c>
      <c r="V15" s="38"/>
    </row>
    <row r="16" spans="1:22" x14ac:dyDescent="0.25">
      <c r="A16" s="59" t="s">
        <v>532</v>
      </c>
      <c r="B16" t="str">
        <f>VLOOKUP(A16,kurspris!$A$1:$Q$219,2,FALSE)</f>
        <v>Utbildningens villkor och samhälleliga funktion - grundnivå (VAL, ULV)</v>
      </c>
      <c r="C16" s="32">
        <v>2180</v>
      </c>
      <c r="D16" t="str">
        <f>VLOOKUP(C16,Orgenheter!$A$1:$B$214,2)</f>
        <v xml:space="preserve">Pedagogik                     </v>
      </c>
      <c r="E16" t="str">
        <f>VLOOKUP(C16,Orgenheter!$A$1:$C$166,3,FALSE)</f>
        <v>Sam</v>
      </c>
      <c r="F16" s="277">
        <f>2/7.5</f>
        <v>0.26666666666666666</v>
      </c>
      <c r="G16">
        <f>VLOOKUP(A16,'Ansvar kurs'!$A$79:$C$348,2,FALSE)</f>
        <v>2193</v>
      </c>
      <c r="H16" t="str">
        <f>VLOOKUP(G16,Orgenheter!$A$1:$B$214,2)</f>
        <v xml:space="preserve">TUV </v>
      </c>
      <c r="I16" t="str">
        <f>VLOOKUP(G16,Orgenheter!$A$1:$C$166,3,FALSE)</f>
        <v>Sam</v>
      </c>
      <c r="J16" s="222">
        <f>IF(ISERROR(VLOOKUP(A16,'Totalt pivot'!$A$5:$C$371,2,FALSE)),0,(VLOOKUP(A16,'Totalt pivot'!$A$5:$C$371,2,FALSE)))</f>
        <v>4.6249999820000003</v>
      </c>
      <c r="K16" s="222">
        <f t="shared" ref="K16:K17" si="36">F16*J16</f>
        <v>1.2333333285333334</v>
      </c>
      <c r="L16" s="222">
        <f>IF(ISERROR(VLOOKUP(A16,'Totalt pivot'!$A$5:$C$371,3,FALSE)),0,(VLOOKUP(A16,'Totalt pivot'!$A$5:$C$371,3,FALSE)))</f>
        <v>4.6249999820000003</v>
      </c>
      <c r="M16" s="222">
        <f t="shared" ref="M16:M17" si="37">F16*L16</f>
        <v>1.2333333285333334</v>
      </c>
      <c r="N16" s="27">
        <f>VLOOKUP(A16,kurspris!$A$1:$Q$219,15)</f>
        <v>24104</v>
      </c>
      <c r="O16" s="27">
        <f>VLOOKUP(A16,kurspris!$A$1:$Q$219,16)</f>
        <v>31432</v>
      </c>
      <c r="P16" s="27">
        <f>VLOOKUP(A16,kurspris!$A$1:$Q$219,17)</f>
        <v>5900</v>
      </c>
      <c r="Q16" s="27">
        <f t="shared" ref="Q16:Q17" si="38">K16*N16+M16*O16</f>
        <v>68494.399733427214</v>
      </c>
      <c r="R16" s="27">
        <f>(Q16*Prislapp!$R$5)*-1</f>
        <v>-4794.6079813399056</v>
      </c>
      <c r="S16" s="27">
        <f t="shared" ref="S16:S17" si="39">Q16+R16</f>
        <v>63699.791752087309</v>
      </c>
      <c r="T16" s="27">
        <f t="shared" ref="T16:T17" si="40">K16*P16</f>
        <v>7276.6666383466672</v>
      </c>
      <c r="V16" s="38" t="s">
        <v>543</v>
      </c>
    </row>
    <row r="17" spans="1:22" x14ac:dyDescent="0.25">
      <c r="A17" s="59" t="s">
        <v>535</v>
      </c>
      <c r="B17" t="str">
        <f>VLOOKUP(A17,kurspris!$A$1:$Q$219,2,FALSE)</f>
        <v>Uppdrag, ledarskap och undervisning - grundnivå (VAL, ULV)</v>
      </c>
      <c r="C17" s="32">
        <v>2193</v>
      </c>
      <c r="D17" t="str">
        <f>VLOOKUP(C17,Orgenheter!$A$1:$B$214,2)</f>
        <v xml:space="preserve">TUV </v>
      </c>
      <c r="E17" t="str">
        <f>VLOOKUP(C17,Orgenheter!$A$1:$C$166,3,FALSE)</f>
        <v>Sam</v>
      </c>
      <c r="F17" s="277">
        <f>2/7.5</f>
        <v>0.26666666666666666</v>
      </c>
      <c r="G17">
        <f>VLOOKUP(A17,'Ansvar kurs'!$A$79:$C$348,2,FALSE)</f>
        <v>2180</v>
      </c>
      <c r="H17" t="str">
        <f>VLOOKUP(G17,Orgenheter!$A$1:$B$214,2)</f>
        <v xml:space="preserve">Pedagogik                     </v>
      </c>
      <c r="I17" t="str">
        <f>VLOOKUP(G17,Orgenheter!$A$1:$C$166,3,FALSE)</f>
        <v>Sam</v>
      </c>
      <c r="J17" s="222">
        <f>IF(ISERROR(VLOOKUP(A17,'Totalt pivot'!$A$5:$C$371,2,FALSE)),0,(VLOOKUP(A17,'Totalt pivot'!$A$5:$C$371,2,FALSE)))</f>
        <v>4.3750000199999999</v>
      </c>
      <c r="K17" s="222">
        <f t="shared" si="36"/>
        <v>1.1666666719999998</v>
      </c>
      <c r="L17" s="222">
        <f>IF(ISERROR(VLOOKUP(A17,'Totalt pivot'!$A$5:$C$371,3,FALSE)),0,(VLOOKUP(A17,'Totalt pivot'!$A$5:$C$371,3,FALSE)))</f>
        <v>4.3750000199999999</v>
      </c>
      <c r="M17" s="222">
        <f t="shared" si="37"/>
        <v>1.1666666719999998</v>
      </c>
      <c r="N17" s="27">
        <f>VLOOKUP(A17,kurspris!$A$1:$Q$219,15)</f>
        <v>24104</v>
      </c>
      <c r="O17" s="27">
        <f>VLOOKUP(A17,kurspris!$A$1:$Q$219,16)</f>
        <v>31432</v>
      </c>
      <c r="P17" s="27">
        <f>VLOOKUP(A17,kurspris!$A$1:$Q$219,17)</f>
        <v>5900</v>
      </c>
      <c r="Q17" s="27">
        <f t="shared" si="38"/>
        <v>64792.000296191989</v>
      </c>
      <c r="R17" s="27">
        <f>(Q17*Prislapp!$R$5)*-1</f>
        <v>-4535.4400207334393</v>
      </c>
      <c r="S17" s="27">
        <f t="shared" si="39"/>
        <v>60256.560275458549</v>
      </c>
      <c r="T17" s="27">
        <f t="shared" si="40"/>
        <v>6883.3333647999989</v>
      </c>
      <c r="V17" s="38" t="s">
        <v>543</v>
      </c>
    </row>
  </sheetData>
  <sheetProtection sheet="1" objects="1" scenarios="1"/>
  <autoFilter ref="A1:T17"/>
  <sortState ref="A2:T88">
    <sortCondition ref="A2:A88"/>
  </sortState>
  <phoneticPr fontId="40" type="noConversion"/>
  <pageMargins left="0.70866141732283472" right="0.70866141732283472" top="0.74803149606299213" bottom="0.74803149606299213" header="0.31496062992125984" footer="0.31496062992125984"/>
  <pageSetup paperSize="9" scale="5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C4" sqref="C4"/>
    </sheetView>
  </sheetViews>
  <sheetFormatPr defaultRowHeight="15" x14ac:dyDescent="0.25"/>
  <cols>
    <col min="1" max="1" width="45.85546875" customWidth="1"/>
    <col min="2" max="2" width="10.7109375" bestFit="1" customWidth="1"/>
    <col min="3" max="3" width="27.28515625" customWidth="1"/>
  </cols>
  <sheetData>
    <row r="1" spans="1:3" ht="24" customHeight="1" x14ac:dyDescent="0.25">
      <c r="A1" s="390" t="s">
        <v>855</v>
      </c>
      <c r="B1" s="33" t="s">
        <v>33</v>
      </c>
      <c r="C1" s="33" t="s">
        <v>824</v>
      </c>
    </row>
    <row r="2" spans="1:3" ht="30" x14ac:dyDescent="0.25">
      <c r="A2" s="389" t="s">
        <v>902</v>
      </c>
      <c r="B2" s="32"/>
      <c r="C2" s="56" t="s">
        <v>913</v>
      </c>
    </row>
    <row r="3" spans="1:3" ht="45" x14ac:dyDescent="0.25">
      <c r="A3" s="389" t="s">
        <v>905</v>
      </c>
      <c r="B3" s="32"/>
      <c r="C3" s="56" t="s">
        <v>913</v>
      </c>
    </row>
    <row r="4" spans="1:3" ht="21.75" customHeight="1" x14ac:dyDescent="0.25">
      <c r="A4" s="388"/>
      <c r="B4" s="32"/>
      <c r="C4" s="32"/>
    </row>
    <row r="5" spans="1:3" ht="21.75" customHeight="1" x14ac:dyDescent="0.25">
      <c r="A5" s="388"/>
      <c r="B5" s="32"/>
      <c r="C5" s="32"/>
    </row>
    <row r="6" spans="1:3" ht="21.75" customHeight="1" x14ac:dyDescent="0.25">
      <c r="A6" s="276"/>
    </row>
    <row r="7" spans="1:3" ht="21.75" customHeight="1" x14ac:dyDescent="0.25">
      <c r="A7" s="276"/>
    </row>
    <row r="8" spans="1:3" ht="21.75" customHeight="1" x14ac:dyDescent="0.25">
      <c r="A8" s="276"/>
    </row>
    <row r="9" spans="1:3" ht="21.75" customHeight="1" x14ac:dyDescent="0.25">
      <c r="A9" s="276"/>
    </row>
    <row r="10" spans="1:3" ht="21.75" customHeight="1" x14ac:dyDescent="0.25">
      <c r="A10" s="276"/>
    </row>
    <row r="11" spans="1:3" ht="21.75" customHeight="1" x14ac:dyDescent="0.25">
      <c r="A11" s="276"/>
    </row>
    <row r="12" spans="1:3" ht="21.75" customHeight="1" x14ac:dyDescent="0.25">
      <c r="A12" s="276"/>
    </row>
    <row r="13" spans="1:3" x14ac:dyDescent="0.25">
      <c r="A13" s="276"/>
    </row>
    <row r="14" spans="1:3" x14ac:dyDescent="0.25">
      <c r="A14" s="276"/>
    </row>
    <row r="15" spans="1:3" x14ac:dyDescent="0.25">
      <c r="A15" s="276"/>
    </row>
    <row r="16" spans="1:3" x14ac:dyDescent="0.25">
      <c r="A16" s="276"/>
    </row>
    <row r="17" spans="1:1" x14ac:dyDescent="0.25">
      <c r="A17" s="276"/>
    </row>
    <row r="18" spans="1:1" x14ac:dyDescent="0.25">
      <c r="A18" s="276"/>
    </row>
    <row r="19" spans="1:1" x14ac:dyDescent="0.25">
      <c r="A19" s="276"/>
    </row>
    <row r="20" spans="1:1" x14ac:dyDescent="0.25">
      <c r="A20" s="276"/>
    </row>
    <row r="21" spans="1:1" x14ac:dyDescent="0.25">
      <c r="A21" s="276"/>
    </row>
    <row r="22" spans="1:1" x14ac:dyDescent="0.25">
      <c r="A22" s="276"/>
    </row>
    <row r="23" spans="1:1" x14ac:dyDescent="0.25">
      <c r="A23" s="276"/>
    </row>
    <row r="24" spans="1:1" x14ac:dyDescent="0.25">
      <c r="A24" s="276"/>
    </row>
    <row r="25" spans="1:1" x14ac:dyDescent="0.25">
      <c r="A25" s="276"/>
    </row>
    <row r="26" spans="1:1" x14ac:dyDescent="0.25">
      <c r="A26" s="276"/>
    </row>
    <row r="27" spans="1:1" x14ac:dyDescent="0.25">
      <c r="A27" s="276"/>
    </row>
    <row r="28" spans="1:1" x14ac:dyDescent="0.25">
      <c r="A28" s="276"/>
    </row>
    <row r="29" spans="1:1" x14ac:dyDescent="0.25">
      <c r="A29" s="276"/>
    </row>
    <row r="30" spans="1:1" x14ac:dyDescent="0.25">
      <c r="A30" s="276"/>
    </row>
    <row r="31" spans="1:1" x14ac:dyDescent="0.25">
      <c r="A31" s="276"/>
    </row>
    <row r="32" spans="1:1" x14ac:dyDescent="0.25">
      <c r="A32" s="276"/>
    </row>
    <row r="33" spans="1:1" x14ac:dyDescent="0.25">
      <c r="A33" s="2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pageSetUpPr autoPageBreaks="0" fitToPage="1"/>
  </sheetPr>
  <dimension ref="A1:V109"/>
  <sheetViews>
    <sheetView tabSelected="1" workbookViewId="0">
      <selection activeCell="C37" sqref="C37"/>
    </sheetView>
  </sheetViews>
  <sheetFormatPr defaultColWidth="8.85546875" defaultRowHeight="15" x14ac:dyDescent="0.25"/>
  <cols>
    <col min="1" max="1" width="6.42578125" style="6" customWidth="1"/>
    <col min="2" max="2" width="77.85546875" style="6" bestFit="1" customWidth="1"/>
    <col min="3" max="3" width="16.42578125" style="6" bestFit="1" customWidth="1"/>
    <col min="4" max="4" width="15.85546875" style="6" bestFit="1" customWidth="1"/>
    <col min="5" max="5" width="15.7109375" style="6" bestFit="1" customWidth="1"/>
    <col min="6" max="6" width="10.7109375" style="6" bestFit="1" customWidth="1"/>
    <col min="7" max="7" width="12.28515625" style="6" bestFit="1" customWidth="1"/>
    <col min="8" max="9" width="13.5703125" style="6" customWidth="1"/>
    <col min="10" max="17" width="8.85546875" style="6"/>
    <col min="18" max="18" width="20.42578125" style="6" bestFit="1" customWidth="1"/>
    <col min="19" max="19" width="16.140625" style="6" bestFit="1" customWidth="1"/>
    <col min="20" max="16384" width="8.85546875" style="6"/>
  </cols>
  <sheetData>
    <row r="1" spans="1:22" ht="20.25" x14ac:dyDescent="0.3">
      <c r="B1" s="2" t="s">
        <v>407</v>
      </c>
      <c r="M1" s="8"/>
      <c r="N1" s="8"/>
      <c r="O1" s="8"/>
      <c r="P1" s="8"/>
      <c r="Q1" s="8"/>
      <c r="R1" s="8"/>
      <c r="S1" s="8"/>
      <c r="T1" s="8"/>
    </row>
    <row r="2" spans="1:22" ht="7.5" customHeight="1" x14ac:dyDescent="0.25">
      <c r="M2" s="8"/>
      <c r="N2" s="8"/>
      <c r="O2" s="8"/>
      <c r="P2" s="8"/>
      <c r="Q2" s="8"/>
      <c r="R2" s="8"/>
      <c r="S2" s="8"/>
      <c r="T2" s="8"/>
    </row>
    <row r="3" spans="1:22" s="3" customFormat="1" ht="15.75" x14ac:dyDescent="0.25">
      <c r="B3" s="5" t="s">
        <v>914</v>
      </c>
      <c r="M3" s="7"/>
      <c r="N3" s="7"/>
      <c r="O3" s="7"/>
      <c r="P3" s="7"/>
      <c r="Q3" s="7"/>
      <c r="R3" s="7"/>
      <c r="S3" s="7"/>
      <c r="T3" s="7"/>
    </row>
    <row r="4" spans="1:22" s="3" customFormat="1" ht="15.75" x14ac:dyDescent="0.25">
      <c r="M4" s="7"/>
      <c r="N4" s="7"/>
      <c r="O4" s="7"/>
      <c r="P4" s="7"/>
      <c r="Q4" s="7"/>
      <c r="R4" s="7"/>
      <c r="S4" s="7"/>
      <c r="T4" s="7"/>
    </row>
    <row r="5" spans="1:22" s="3" customFormat="1" ht="19.5" thickBot="1" x14ac:dyDescent="0.35">
      <c r="B5" s="4" t="s">
        <v>111</v>
      </c>
      <c r="C5" s="23">
        <v>2020</v>
      </c>
      <c r="M5" s="7"/>
      <c r="N5" s="7"/>
      <c r="O5" s="7"/>
      <c r="P5" s="7"/>
      <c r="Q5" s="7"/>
      <c r="R5" s="7"/>
      <c r="S5" s="7"/>
      <c r="T5" s="7"/>
    </row>
    <row r="6" spans="1:22" s="3" customFormat="1" ht="17.25" thickTop="1" thickBot="1" x14ac:dyDescent="0.3">
      <c r="B6" s="20" t="s">
        <v>56</v>
      </c>
      <c r="C6" s="181">
        <v>2180</v>
      </c>
      <c r="M6" s="7"/>
      <c r="N6" s="7"/>
      <c r="O6" s="7"/>
      <c r="P6" s="7"/>
      <c r="Q6" s="7"/>
      <c r="R6" s="7"/>
      <c r="S6" s="7"/>
      <c r="T6" s="7"/>
    </row>
    <row r="7" spans="1:22" s="3" customFormat="1" ht="17.25" thickTop="1" thickBot="1" x14ac:dyDescent="0.3">
      <c r="B7" s="157" t="s">
        <v>64</v>
      </c>
      <c r="C7" s="180" t="str">
        <f>VLOOKUP($C$6,Orgenheter!$A$1:$C$166,3,FALSE)</f>
        <v>Sam</v>
      </c>
      <c r="N7" s="7"/>
      <c r="O7" s="7"/>
      <c r="P7" s="7"/>
      <c r="Q7" s="7"/>
      <c r="R7" s="7"/>
      <c r="S7" s="7"/>
      <c r="T7" s="7"/>
      <c r="U7" s="7"/>
    </row>
    <row r="8" spans="1:22" s="3" customFormat="1" ht="15.75" x14ac:dyDescent="0.25">
      <c r="N8" s="7"/>
      <c r="O8" s="7"/>
      <c r="P8" s="7"/>
      <c r="Q8" s="7"/>
      <c r="R8" s="7"/>
      <c r="S8" s="7"/>
      <c r="T8" s="7"/>
      <c r="U8" s="7"/>
    </row>
    <row r="9" spans="1:22" ht="26.25" customHeight="1" x14ac:dyDescent="0.25">
      <c r="B9" s="423" t="str">
        <f>VLOOKUP(C6,Orgenheter!A2:B214,2,FALSE)</f>
        <v xml:space="preserve">Pedagogik                     </v>
      </c>
      <c r="C9" s="424"/>
      <c r="D9" s="86" t="s">
        <v>59</v>
      </c>
      <c r="E9" s="87" t="s">
        <v>60</v>
      </c>
      <c r="G9" s="43"/>
      <c r="H9" s="43"/>
      <c r="I9" s="43"/>
      <c r="N9" s="8"/>
      <c r="O9" s="8"/>
      <c r="P9" s="8"/>
      <c r="Q9" s="8"/>
      <c r="R9" s="8"/>
      <c r="S9" s="8"/>
      <c r="T9" s="8"/>
      <c r="U9" s="8"/>
    </row>
    <row r="10" spans="1:22" ht="15.75" x14ac:dyDescent="0.25">
      <c r="B10" s="80"/>
      <c r="C10" s="24"/>
      <c r="D10" s="24"/>
      <c r="E10" s="81"/>
      <c r="G10" s="43"/>
      <c r="H10" s="43"/>
      <c r="I10" s="43"/>
      <c r="N10" s="8"/>
      <c r="O10" s="8"/>
      <c r="P10" s="8"/>
      <c r="Q10" s="8"/>
      <c r="R10" s="8"/>
      <c r="S10" s="8"/>
      <c r="T10" s="8"/>
      <c r="U10" s="8"/>
    </row>
    <row r="11" spans="1:22" ht="19.5" thickBot="1" x14ac:dyDescent="0.35">
      <c r="B11" s="224" t="s">
        <v>327</v>
      </c>
      <c r="C11" s="258">
        <f>VLOOKUP($C$6,'Totalt per inst'!$B$4:$S$32,4,FALSE)</f>
        <v>776194.99835121597</v>
      </c>
      <c r="D11" s="199">
        <f>VLOOKUP($B$9,'Totalt per inst'!$C$4:$S$32,4,FALSE)</f>
        <v>13.749999968499999</v>
      </c>
      <c r="E11" s="200">
        <f>VLOOKUP($B$9,'Totalt per inst'!$C$4:$S$32,5,FALSE)</f>
        <v>13.749999968499999</v>
      </c>
      <c r="G11" s="43"/>
      <c r="H11" s="260"/>
      <c r="I11" s="260"/>
      <c r="N11" s="8"/>
      <c r="O11" s="8"/>
      <c r="P11" s="8"/>
      <c r="Q11" s="8"/>
      <c r="R11" s="8"/>
      <c r="S11" s="8"/>
      <c r="T11" s="8"/>
      <c r="U11" s="8"/>
    </row>
    <row r="12" spans="1:22" s="3" customFormat="1" ht="19.5" thickBot="1" x14ac:dyDescent="0.35">
      <c r="B12" s="224" t="s">
        <v>329</v>
      </c>
      <c r="C12" s="258">
        <f>VLOOKUP($C$6,'Totalt per inst'!$B$4:$S$32,8,FALSE)</f>
        <v>227253.31357700028</v>
      </c>
      <c r="D12" s="199">
        <f>VLOOKUP($B$9,'Totalt per inst'!$C$4:$S$32,8,FALSE)</f>
        <v>4.4000000305333336</v>
      </c>
      <c r="E12" s="200">
        <f>VLOOKUP($B$9,'Totalt per inst'!$C$4:$S$32,9,FALSE)</f>
        <v>4.4000000305333336</v>
      </c>
      <c r="G12" s="43"/>
      <c r="H12" s="260"/>
      <c r="I12" s="260"/>
      <c r="O12" s="7"/>
      <c r="P12" s="7"/>
      <c r="Q12" s="7"/>
      <c r="R12" s="7"/>
      <c r="S12" s="7"/>
      <c r="T12" s="7"/>
      <c r="U12" s="7"/>
      <c r="V12" s="7"/>
    </row>
    <row r="13" spans="1:22" ht="19.5" thickBot="1" x14ac:dyDescent="0.35">
      <c r="B13" s="224" t="s">
        <v>328</v>
      </c>
      <c r="C13" s="258">
        <f>VLOOKUP($C$6,'Totalt per inst'!$B$4:$S$32,12,FALSE)</f>
        <v>-66509.725325483872</v>
      </c>
      <c r="D13" s="199">
        <f>VLOOKUP($B$9,'Totalt per inst'!$C$4:$S$32,12,FALSE)</f>
        <v>-1.2500000059999998</v>
      </c>
      <c r="E13" s="200">
        <f>VLOOKUP($B$9,'Totalt per inst'!$C$4:$S$32,13,FALSE)</f>
        <v>-1.2500000059999998</v>
      </c>
      <c r="G13" s="43"/>
      <c r="H13" s="43"/>
      <c r="I13" s="43"/>
      <c r="N13" s="8"/>
      <c r="O13" s="8"/>
      <c r="P13" s="8"/>
      <c r="Q13" s="8"/>
      <c r="R13" s="8"/>
      <c r="S13" s="8"/>
      <c r="T13" s="8"/>
      <c r="U13" s="8"/>
    </row>
    <row r="14" spans="1:22" ht="19.5" thickBot="1" x14ac:dyDescent="0.35">
      <c r="B14" s="225" t="s">
        <v>368</v>
      </c>
      <c r="C14" s="262">
        <f>IF(C6=1650,H16+I16,0)</f>
        <v>0</v>
      </c>
      <c r="D14" s="199"/>
      <c r="E14" s="201"/>
      <c r="G14" s="43"/>
      <c r="H14" s="43"/>
      <c r="I14" s="43"/>
      <c r="N14" s="8"/>
      <c r="O14" s="8"/>
      <c r="P14" s="8"/>
      <c r="Q14" s="8"/>
      <c r="R14" s="8"/>
      <c r="S14" s="8"/>
      <c r="T14" s="8"/>
      <c r="U14" s="8"/>
    </row>
    <row r="15" spans="1:22" ht="16.5" thickBot="1" x14ac:dyDescent="0.3">
      <c r="A15" s="99"/>
      <c r="B15" s="80"/>
      <c r="C15" s="258"/>
      <c r="D15" s="202"/>
      <c r="E15" s="203"/>
      <c r="G15" s="43"/>
      <c r="H15" s="43"/>
      <c r="I15" s="43"/>
      <c r="N15" s="8"/>
      <c r="O15" s="8"/>
      <c r="P15" s="8"/>
      <c r="Q15" s="8"/>
      <c r="R15" s="8"/>
      <c r="S15" s="8"/>
      <c r="T15" s="8"/>
      <c r="U15" s="8"/>
    </row>
    <row r="16" spans="1:22" ht="19.5" thickBot="1" x14ac:dyDescent="0.35">
      <c r="B16" s="83" t="s">
        <v>357</v>
      </c>
      <c r="C16" s="258">
        <f>SUM(C11:C15)</f>
        <v>936938.58660273242</v>
      </c>
      <c r="D16" s="202">
        <f>SUM(D11:D15)</f>
        <v>16.899999993033333</v>
      </c>
      <c r="E16" s="203">
        <f>SUM(E11:E15)</f>
        <v>16.899999993033333</v>
      </c>
      <c r="G16" s="43"/>
      <c r="H16" s="261"/>
      <c r="I16" s="261"/>
      <c r="J16" s="158"/>
      <c r="N16" s="8"/>
      <c r="O16" s="8"/>
      <c r="P16" s="8"/>
      <c r="Q16" s="8"/>
      <c r="R16" s="8"/>
      <c r="S16" s="8"/>
      <c r="T16" s="8"/>
      <c r="U16" s="8"/>
    </row>
    <row r="17" spans="2:21" ht="19.5" thickBot="1" x14ac:dyDescent="0.35">
      <c r="B17" s="83"/>
      <c r="C17" s="258"/>
      <c r="D17" s="85"/>
      <c r="E17" s="103"/>
      <c r="G17" s="43"/>
      <c r="H17" s="261"/>
      <c r="I17" s="261"/>
      <c r="J17" s="158"/>
      <c r="N17" s="8"/>
      <c r="O17" s="8"/>
      <c r="P17" s="8"/>
      <c r="Q17" s="8"/>
      <c r="R17" s="8"/>
      <c r="S17" s="8"/>
      <c r="T17" s="8"/>
      <c r="U17" s="8"/>
    </row>
    <row r="18" spans="2:21" ht="19.5" thickBot="1" x14ac:dyDescent="0.35">
      <c r="B18" s="83" t="s">
        <v>359</v>
      </c>
      <c r="C18" s="258">
        <f>VLOOKUP($C$6,'Totalt per inst'!$B$4:$S$32,15,FALSE)</f>
        <v>111918.33338989667</v>
      </c>
      <c r="D18" s="85"/>
      <c r="E18" s="103"/>
      <c r="H18" s="158"/>
      <c r="I18" s="158"/>
      <c r="J18" s="158"/>
      <c r="N18" s="8"/>
      <c r="O18" s="8"/>
      <c r="P18" s="8"/>
      <c r="Q18" s="8"/>
      <c r="R18" s="8"/>
      <c r="S18" s="8"/>
      <c r="T18" s="8"/>
      <c r="U18" s="8"/>
    </row>
    <row r="19" spans="2:21" ht="19.5" thickBot="1" x14ac:dyDescent="0.35">
      <c r="B19" s="225" t="s">
        <v>368</v>
      </c>
      <c r="C19" s="262">
        <f>IF(C6=1650,H17+I17,0)</f>
        <v>0</v>
      </c>
      <c r="D19" s="85"/>
      <c r="E19" s="179"/>
      <c r="H19" s="158"/>
      <c r="I19" s="158"/>
      <c r="J19" s="158"/>
      <c r="N19" s="8"/>
      <c r="O19" s="8"/>
      <c r="P19" s="8"/>
      <c r="Q19" s="8"/>
      <c r="R19" s="8"/>
      <c r="S19" s="8"/>
      <c r="T19" s="8"/>
      <c r="U19" s="8"/>
    </row>
    <row r="20" spans="2:21" ht="19.5" thickBot="1" x14ac:dyDescent="0.35">
      <c r="B20" s="83"/>
      <c r="C20" s="258"/>
      <c r="D20" s="85"/>
      <c r="E20" s="103"/>
      <c r="N20" s="8"/>
      <c r="O20" s="8"/>
      <c r="P20" s="8"/>
      <c r="Q20" s="8"/>
      <c r="R20" s="8"/>
      <c r="S20" s="8"/>
      <c r="T20" s="8"/>
      <c r="U20" s="8"/>
    </row>
    <row r="21" spans="2:21" ht="19.5" thickBot="1" x14ac:dyDescent="0.35">
      <c r="B21" s="83" t="s">
        <v>361</v>
      </c>
      <c r="C21" s="258">
        <f>IF($C$7="Sam",$C$16,$C$16+$C$18+$C$19)</f>
        <v>936938.58660273242</v>
      </c>
      <c r="D21" s="85"/>
      <c r="E21" s="103"/>
      <c r="N21" s="8"/>
      <c r="O21" s="8"/>
      <c r="P21" s="8"/>
      <c r="Q21" s="8"/>
      <c r="R21" s="8"/>
      <c r="S21" s="8"/>
      <c r="T21" s="8"/>
      <c r="U21" s="8"/>
    </row>
    <row r="22" spans="2:21" ht="18.75" x14ac:dyDescent="0.3">
      <c r="B22" s="83"/>
      <c r="C22" s="31"/>
      <c r="D22" s="85"/>
      <c r="E22" s="103"/>
      <c r="N22" s="8"/>
      <c r="O22" s="8"/>
      <c r="P22" s="8"/>
      <c r="Q22" s="8"/>
      <c r="R22" s="8"/>
      <c r="S22" s="8"/>
      <c r="T22" s="8"/>
      <c r="U22" s="8"/>
    </row>
    <row r="23" spans="2:21" x14ac:dyDescent="0.25">
      <c r="B23" s="88"/>
      <c r="C23" s="84"/>
      <c r="D23" s="84"/>
      <c r="E23" s="82"/>
      <c r="N23" s="8"/>
      <c r="O23" s="8"/>
      <c r="P23" s="8"/>
      <c r="Q23" s="8"/>
      <c r="R23" s="8"/>
      <c r="S23" s="8"/>
      <c r="T23" s="8"/>
      <c r="U23" s="8"/>
    </row>
    <row r="24" spans="2:21" x14ac:dyDescent="0.25">
      <c r="N24" s="8"/>
      <c r="O24" s="8"/>
      <c r="P24" s="8"/>
      <c r="Q24" s="8"/>
      <c r="R24" s="8"/>
      <c r="S24" s="8"/>
      <c r="T24" s="8"/>
      <c r="U24" s="8"/>
    </row>
    <row r="25" spans="2:21" x14ac:dyDescent="0.25">
      <c r="B25" s="43"/>
      <c r="M25" s="8"/>
      <c r="N25" s="8"/>
      <c r="O25" s="8"/>
      <c r="P25" s="8"/>
      <c r="Q25" s="8"/>
      <c r="R25" s="8"/>
      <c r="S25" s="8"/>
      <c r="T25" s="8"/>
    </row>
    <row r="26" spans="2:21" x14ac:dyDescent="0.25">
      <c r="B26" s="95" t="s">
        <v>408</v>
      </c>
      <c r="M26" s="8"/>
      <c r="N26" s="8"/>
      <c r="O26" s="8"/>
      <c r="P26" s="8"/>
      <c r="Q26" s="8"/>
      <c r="R26" s="8"/>
      <c r="S26" s="8"/>
      <c r="T26" s="8"/>
    </row>
    <row r="27" spans="2:21" ht="34.5" customHeight="1" x14ac:dyDescent="0.25">
      <c r="H27" s="425" t="str">
        <f>IF(C7="Sam","Till Samfak lokalintäkter per månad","")</f>
        <v>Till Samfak lokalintäkter per månad</v>
      </c>
      <c r="I27" s="425"/>
      <c r="M27" s="8"/>
      <c r="N27" s="8"/>
      <c r="O27" s="8"/>
      <c r="P27" s="8"/>
      <c r="Q27" s="8"/>
      <c r="R27" s="8"/>
      <c r="S27" s="8"/>
      <c r="T27" s="8"/>
    </row>
    <row r="28" spans="2:21" ht="16.5" thickBot="1" x14ac:dyDescent="0.3">
      <c r="I28" s="259">
        <f>IF(C7="Sam",($C$18-D30)/12,"")</f>
        <v>3190.7870417506479</v>
      </c>
      <c r="J28" s="102"/>
      <c r="M28" s="8"/>
      <c r="N28" s="8"/>
      <c r="O28" s="8"/>
      <c r="P28" s="8"/>
      <c r="Q28" s="8"/>
      <c r="R28" s="8"/>
      <c r="S28" s="8"/>
      <c r="T28" s="8"/>
    </row>
    <row r="29" spans="2:21" ht="16.5" thickBot="1" x14ac:dyDescent="0.3">
      <c r="B29" s="90" t="s">
        <v>276</v>
      </c>
      <c r="C29" s="91" t="s">
        <v>298</v>
      </c>
      <c r="D29" s="91" t="s">
        <v>106</v>
      </c>
      <c r="E29" s="92" t="s">
        <v>360</v>
      </c>
      <c r="F29" s="347"/>
      <c r="J29" s="102"/>
      <c r="M29" s="8"/>
      <c r="N29" s="8"/>
      <c r="O29" s="8"/>
      <c r="P29" s="8"/>
      <c r="Q29" s="8"/>
      <c r="R29" s="8"/>
      <c r="S29" s="8"/>
      <c r="T29" s="8"/>
    </row>
    <row r="30" spans="2:21" ht="25.5" customHeight="1" thickBot="1" x14ac:dyDescent="0.3">
      <c r="B30" s="183" t="s">
        <v>897</v>
      </c>
      <c r="C30" s="346">
        <f>VLOOKUP($C$6,'Utfördelat tom aug'!$A$3:$G$28,5,FALSE)</f>
        <v>615369.72466666659</v>
      </c>
      <c r="D30" s="380">
        <f>VLOOKUP($C$6,'Utfördelat tom aug'!$A$3:$G$28,6,FALSE)</f>
        <v>73628.888888888891</v>
      </c>
      <c r="E30" s="346">
        <f>SUM(C30:D30)</f>
        <v>688998.61355555546</v>
      </c>
      <c r="F30" s="348"/>
      <c r="J30" s="102"/>
      <c r="M30" s="8"/>
      <c r="N30" s="8"/>
      <c r="O30" s="8"/>
      <c r="P30" s="8"/>
      <c r="Q30" s="8"/>
      <c r="R30" s="8"/>
      <c r="S30" s="8"/>
      <c r="T30" s="8"/>
    </row>
    <row r="31" spans="2:21" ht="27" customHeight="1" thickBot="1" x14ac:dyDescent="0.3">
      <c r="B31" s="183" t="s">
        <v>952</v>
      </c>
      <c r="C31" s="258">
        <f>($C$16-C30)/4</f>
        <v>80392.215484016459</v>
      </c>
      <c r="D31" s="379">
        <f>(IF($C$7="Sam",0,($C$18-D30))/4)</f>
        <v>0</v>
      </c>
      <c r="E31" s="258">
        <f>SUM(C31:D31)</f>
        <v>80392.215484016459</v>
      </c>
      <c r="F31" s="348"/>
      <c r="H31" s="102"/>
      <c r="N31" s="8"/>
      <c r="O31" s="8"/>
      <c r="P31" s="8"/>
      <c r="Q31" s="8"/>
      <c r="R31" s="8"/>
      <c r="S31" s="8"/>
      <c r="T31" s="8"/>
      <c r="U31" s="8"/>
    </row>
    <row r="32" spans="2:21" ht="16.5" thickBot="1" x14ac:dyDescent="0.3">
      <c r="B32" s="89"/>
      <c r="C32" s="159"/>
      <c r="D32" s="159"/>
      <c r="E32" s="160"/>
      <c r="F32" s="348"/>
      <c r="H32" s="102"/>
      <c r="N32" s="8"/>
      <c r="O32" s="8"/>
      <c r="P32" s="8"/>
      <c r="Q32" s="8"/>
      <c r="R32" s="8"/>
      <c r="S32" s="8"/>
      <c r="T32" s="8"/>
      <c r="U32" s="8"/>
    </row>
    <row r="33" spans="2:21" ht="16.5" thickBot="1" x14ac:dyDescent="0.3">
      <c r="B33" s="89"/>
      <c r="C33" s="159"/>
      <c r="D33" s="159"/>
      <c r="E33" s="160"/>
      <c r="F33" s="348"/>
      <c r="H33" s="102"/>
      <c r="I33" s="102"/>
      <c r="N33" s="8"/>
      <c r="O33" s="8"/>
      <c r="P33" s="8"/>
      <c r="Q33" s="8"/>
      <c r="R33" s="8"/>
      <c r="S33" s="10"/>
      <c r="T33" s="7"/>
      <c r="U33" s="7"/>
    </row>
    <row r="34" spans="2:21" ht="15.75" x14ac:dyDescent="0.25">
      <c r="M34" s="8"/>
      <c r="N34" s="8"/>
      <c r="O34" s="8"/>
      <c r="P34" s="8"/>
      <c r="Q34" s="8"/>
      <c r="R34" s="8"/>
      <c r="S34" s="7"/>
      <c r="T34" s="7"/>
    </row>
    <row r="35" spans="2:21" ht="15.75" x14ac:dyDescent="0.25">
      <c r="M35" s="8"/>
      <c r="N35" s="8"/>
      <c r="O35" s="8"/>
      <c r="P35" s="8"/>
      <c r="Q35" s="8"/>
      <c r="R35" s="7"/>
      <c r="S35" s="7"/>
      <c r="T35" s="7"/>
    </row>
    <row r="36" spans="2:21" ht="15.75" x14ac:dyDescent="0.25">
      <c r="M36" s="8"/>
      <c r="N36" s="8"/>
      <c r="O36" s="8"/>
      <c r="P36" s="8"/>
      <c r="Q36" s="8"/>
      <c r="R36" s="8"/>
      <c r="S36" s="7"/>
      <c r="T36" s="7"/>
    </row>
    <row r="37" spans="2:21" ht="15.75" x14ac:dyDescent="0.25">
      <c r="M37" s="8"/>
      <c r="N37" s="8"/>
      <c r="O37" s="8"/>
      <c r="P37" s="8"/>
      <c r="Q37" s="8"/>
      <c r="R37" s="8"/>
      <c r="S37" s="7"/>
      <c r="T37" s="7"/>
    </row>
    <row r="38" spans="2:21" x14ac:dyDescent="0.25">
      <c r="M38" s="8"/>
      <c r="N38" s="8"/>
      <c r="O38" s="8"/>
      <c r="P38" s="8"/>
      <c r="Q38" s="8"/>
      <c r="R38" s="8"/>
      <c r="S38" s="8"/>
      <c r="T38" s="8"/>
    </row>
    <row r="39" spans="2:21" x14ac:dyDescent="0.25">
      <c r="M39" s="8"/>
      <c r="N39" s="8"/>
      <c r="O39" s="8"/>
      <c r="P39" s="8"/>
      <c r="Q39" s="8"/>
      <c r="R39" s="8"/>
      <c r="S39" s="8"/>
      <c r="T39" s="8"/>
    </row>
    <row r="40" spans="2:21" ht="15.75" x14ac:dyDescent="0.25">
      <c r="M40" s="8"/>
      <c r="N40" s="8"/>
      <c r="O40" s="8"/>
      <c r="P40" s="8"/>
      <c r="Q40" s="8"/>
      <c r="R40" s="7"/>
      <c r="S40" s="17"/>
      <c r="T40" s="17"/>
    </row>
    <row r="41" spans="2:21" ht="15.75" x14ac:dyDescent="0.25">
      <c r="M41" s="8"/>
      <c r="N41" s="8"/>
      <c r="O41" s="8"/>
      <c r="P41" s="8"/>
      <c r="Q41" s="8"/>
      <c r="R41" s="7"/>
      <c r="S41" s="8"/>
      <c r="T41" s="8"/>
    </row>
    <row r="42" spans="2:21" x14ac:dyDescent="0.25">
      <c r="M42" s="8"/>
      <c r="N42" s="8"/>
      <c r="O42" s="8"/>
      <c r="P42" s="8"/>
      <c r="Q42" s="8"/>
      <c r="R42" s="8"/>
      <c r="S42" s="8"/>
      <c r="T42" s="8"/>
    </row>
    <row r="43" spans="2:21" x14ac:dyDescent="0.25">
      <c r="M43" s="8"/>
      <c r="N43" s="8"/>
      <c r="O43" s="8"/>
      <c r="P43" s="8"/>
      <c r="Q43" s="8"/>
      <c r="R43" s="8"/>
      <c r="S43" s="8"/>
      <c r="T43" s="8"/>
    </row>
    <row r="44" spans="2:21" x14ac:dyDescent="0.25">
      <c r="M44" s="8"/>
      <c r="N44" s="8"/>
      <c r="O44" s="8"/>
      <c r="P44" s="8"/>
      <c r="Q44" s="8"/>
      <c r="R44" s="8"/>
      <c r="S44" s="8"/>
      <c r="T44" s="8"/>
    </row>
    <row r="45" spans="2:21" ht="15.75" x14ac:dyDescent="0.25">
      <c r="M45" s="8"/>
      <c r="N45" s="8"/>
      <c r="O45" s="8"/>
      <c r="P45" s="8"/>
      <c r="Q45" s="8"/>
      <c r="R45" s="7"/>
      <c r="S45" s="8"/>
      <c r="T45" s="8"/>
    </row>
    <row r="46" spans="2:21" ht="15.75" x14ac:dyDescent="0.25">
      <c r="M46" s="8"/>
      <c r="N46" s="8"/>
      <c r="O46" s="8"/>
      <c r="P46" s="8"/>
      <c r="Q46" s="8"/>
      <c r="R46" s="7"/>
      <c r="S46" s="8"/>
      <c r="T46" s="8"/>
    </row>
    <row r="47" spans="2:21" x14ac:dyDescent="0.25">
      <c r="M47" s="8"/>
      <c r="N47" s="8"/>
      <c r="O47" s="8"/>
      <c r="P47" s="8"/>
      <c r="Q47" s="8"/>
      <c r="R47" s="8"/>
      <c r="S47" s="8"/>
      <c r="T47" s="8"/>
    </row>
    <row r="48" spans="2:21" x14ac:dyDescent="0.25">
      <c r="M48" s="8"/>
      <c r="N48" s="8"/>
      <c r="O48" s="8"/>
      <c r="P48" s="8"/>
      <c r="Q48" s="8"/>
      <c r="R48" s="8"/>
      <c r="S48" s="8"/>
      <c r="T48" s="8"/>
    </row>
    <row r="49" spans="13:20" x14ac:dyDescent="0.25">
      <c r="M49" s="8"/>
      <c r="N49" s="8"/>
      <c r="O49" s="8"/>
      <c r="P49" s="8"/>
      <c r="Q49" s="8"/>
      <c r="R49" s="17"/>
      <c r="S49" s="8"/>
      <c r="T49" s="8"/>
    </row>
    <row r="50" spans="13:20" x14ac:dyDescent="0.25">
      <c r="M50" s="8"/>
      <c r="N50" s="8"/>
      <c r="O50" s="8"/>
      <c r="P50" s="8"/>
      <c r="Q50" s="8"/>
      <c r="R50" s="21"/>
      <c r="S50" s="17"/>
      <c r="T50" s="8"/>
    </row>
    <row r="51" spans="13:20" x14ac:dyDescent="0.25">
      <c r="M51" s="8"/>
      <c r="N51" s="8"/>
      <c r="O51" s="8"/>
      <c r="P51" s="8"/>
      <c r="Q51" s="8"/>
      <c r="R51" s="22"/>
      <c r="S51" s="8"/>
      <c r="T51" s="8"/>
    </row>
    <row r="52" spans="13:20" x14ac:dyDescent="0.25">
      <c r="M52" s="8"/>
      <c r="N52" s="8"/>
      <c r="O52" s="8"/>
      <c r="P52" s="8"/>
      <c r="Q52" s="8"/>
      <c r="R52" s="22"/>
      <c r="S52" s="8"/>
      <c r="T52" s="8"/>
    </row>
    <row r="53" spans="13:20" x14ac:dyDescent="0.25">
      <c r="M53" s="8"/>
      <c r="N53" s="8"/>
      <c r="O53" s="8"/>
      <c r="P53" s="8"/>
      <c r="Q53" s="8"/>
      <c r="R53" s="22"/>
      <c r="S53" s="22"/>
      <c r="T53" s="8"/>
    </row>
    <row r="54" spans="13:20" x14ac:dyDescent="0.25">
      <c r="M54" s="8"/>
      <c r="N54" s="8"/>
      <c r="O54" s="8"/>
      <c r="P54" s="8"/>
      <c r="Q54" s="8"/>
      <c r="R54" s="22"/>
      <c r="S54" s="22"/>
      <c r="T54" s="8"/>
    </row>
    <row r="55" spans="13:20" x14ac:dyDescent="0.25">
      <c r="M55" s="8"/>
      <c r="N55" s="8"/>
      <c r="O55" s="8"/>
      <c r="P55" s="8"/>
      <c r="Q55" s="8"/>
      <c r="R55" s="22"/>
      <c r="S55" s="8"/>
      <c r="T55" s="8"/>
    </row>
    <row r="56" spans="13:20" x14ac:dyDescent="0.25">
      <c r="M56" s="8"/>
      <c r="N56" s="8"/>
      <c r="O56" s="8"/>
      <c r="P56" s="8"/>
      <c r="Q56" s="8"/>
      <c r="R56" s="22"/>
      <c r="S56" s="8"/>
      <c r="T56" s="8"/>
    </row>
    <row r="57" spans="13:20" x14ac:dyDescent="0.25">
      <c r="M57" s="8"/>
      <c r="N57" s="8"/>
      <c r="O57" s="8"/>
      <c r="P57" s="8"/>
      <c r="Q57" s="8"/>
      <c r="R57" s="22"/>
      <c r="S57" s="8"/>
      <c r="T57" s="8"/>
    </row>
    <row r="58" spans="13:20" x14ac:dyDescent="0.25">
      <c r="M58" s="8"/>
      <c r="N58" s="8"/>
      <c r="O58" s="8"/>
      <c r="P58" s="8"/>
      <c r="Q58" s="8"/>
      <c r="R58" s="22"/>
      <c r="S58" s="22"/>
      <c r="T58" s="8"/>
    </row>
    <row r="59" spans="13:20" x14ac:dyDescent="0.25">
      <c r="M59" s="8"/>
      <c r="N59" s="8"/>
      <c r="O59" s="8"/>
      <c r="P59" s="8"/>
      <c r="Q59" s="8"/>
      <c r="R59" s="22"/>
      <c r="S59" s="22"/>
      <c r="T59" s="8"/>
    </row>
    <row r="60" spans="13:20" x14ac:dyDescent="0.25">
      <c r="M60" s="8"/>
      <c r="N60" s="8"/>
      <c r="O60" s="8"/>
      <c r="P60" s="8"/>
      <c r="Q60" s="8"/>
      <c r="R60" s="22"/>
      <c r="S60" s="22"/>
      <c r="T60" s="8"/>
    </row>
    <row r="61" spans="13:20" x14ac:dyDescent="0.25">
      <c r="M61" s="8"/>
      <c r="N61" s="8"/>
      <c r="O61" s="8"/>
      <c r="P61" s="8"/>
      <c r="Q61" s="8"/>
      <c r="R61" s="22"/>
      <c r="S61" s="22"/>
      <c r="T61" s="8"/>
    </row>
    <row r="62" spans="13:20" x14ac:dyDescent="0.25">
      <c r="M62" s="8"/>
      <c r="N62" s="8"/>
      <c r="O62" s="8"/>
      <c r="P62" s="8"/>
      <c r="Q62" s="8"/>
      <c r="R62" s="22"/>
      <c r="S62" s="22"/>
      <c r="T62" s="8"/>
    </row>
    <row r="63" spans="13:20" x14ac:dyDescent="0.25">
      <c r="M63" s="8"/>
      <c r="N63" s="8"/>
      <c r="O63" s="8"/>
      <c r="P63" s="8"/>
      <c r="Q63" s="8"/>
      <c r="R63" s="22"/>
      <c r="S63" s="22"/>
      <c r="T63" s="8"/>
    </row>
    <row r="64" spans="13:20" x14ac:dyDescent="0.25">
      <c r="M64" s="8"/>
      <c r="N64" s="8"/>
      <c r="O64" s="8"/>
      <c r="P64" s="8"/>
      <c r="Q64" s="8"/>
      <c r="R64" s="22"/>
      <c r="S64" s="22"/>
      <c r="T64" s="8"/>
    </row>
    <row r="65" spans="13:20" x14ac:dyDescent="0.25">
      <c r="M65" s="8"/>
      <c r="N65" s="8"/>
      <c r="O65" s="8"/>
      <c r="P65" s="8"/>
      <c r="Q65" s="8"/>
      <c r="R65" s="22"/>
      <c r="S65" s="22"/>
      <c r="T65" s="8"/>
    </row>
    <row r="66" spans="13:20" x14ac:dyDescent="0.25">
      <c r="M66" s="8"/>
      <c r="N66" s="8"/>
      <c r="O66" s="8"/>
      <c r="P66" s="8"/>
      <c r="Q66" s="8"/>
      <c r="R66" s="22"/>
      <c r="S66" s="22"/>
      <c r="T66" s="8"/>
    </row>
    <row r="67" spans="13:20" x14ac:dyDescent="0.25">
      <c r="M67" s="8"/>
      <c r="N67" s="8"/>
      <c r="O67" s="8"/>
      <c r="P67" s="8"/>
      <c r="Q67" s="8"/>
      <c r="R67" s="22"/>
      <c r="S67" s="22"/>
      <c r="T67" s="8"/>
    </row>
    <row r="68" spans="13:20" x14ac:dyDescent="0.25">
      <c r="M68" s="8"/>
      <c r="N68" s="8"/>
      <c r="O68" s="8"/>
      <c r="P68" s="8"/>
      <c r="Q68" s="8"/>
      <c r="R68" s="22"/>
      <c r="S68" s="22"/>
      <c r="T68" s="8"/>
    </row>
    <row r="69" spans="13:20" x14ac:dyDescent="0.25">
      <c r="M69" s="8"/>
      <c r="N69" s="8"/>
      <c r="O69" s="8"/>
      <c r="P69" s="8"/>
      <c r="Q69" s="8"/>
      <c r="R69" s="22"/>
      <c r="S69" s="22"/>
      <c r="T69" s="8"/>
    </row>
    <row r="70" spans="13:20" x14ac:dyDescent="0.25">
      <c r="M70" s="8"/>
      <c r="N70" s="8"/>
      <c r="O70" s="8"/>
      <c r="P70" s="8"/>
      <c r="Q70" s="8"/>
      <c r="R70" s="22"/>
      <c r="S70" s="22"/>
      <c r="T70" s="8"/>
    </row>
    <row r="71" spans="13:20" x14ac:dyDescent="0.25">
      <c r="M71" s="8"/>
      <c r="N71" s="8"/>
      <c r="O71" s="8"/>
      <c r="P71" s="8"/>
      <c r="Q71" s="8"/>
      <c r="R71" s="22"/>
      <c r="S71" s="22"/>
      <c r="T71" s="8"/>
    </row>
    <row r="72" spans="13:20" x14ac:dyDescent="0.25">
      <c r="M72" s="8"/>
      <c r="N72" s="8"/>
      <c r="O72" s="8"/>
      <c r="P72" s="8"/>
      <c r="Q72" s="8"/>
      <c r="R72" s="8"/>
      <c r="S72" s="22"/>
      <c r="T72" s="8"/>
    </row>
    <row r="73" spans="13:20" x14ac:dyDescent="0.25">
      <c r="M73" s="8"/>
      <c r="N73" s="8"/>
      <c r="O73" s="8"/>
      <c r="P73" s="8"/>
      <c r="Q73" s="8"/>
      <c r="R73" s="8"/>
      <c r="S73" s="22"/>
      <c r="T73" s="8"/>
    </row>
    <row r="74" spans="13:20" x14ac:dyDescent="0.25">
      <c r="M74" s="8"/>
      <c r="N74" s="8"/>
      <c r="O74" s="8"/>
      <c r="P74" s="8"/>
      <c r="Q74" s="8"/>
      <c r="R74" s="17"/>
      <c r="S74" s="22"/>
      <c r="T74" s="8"/>
    </row>
    <row r="75" spans="13:20" x14ac:dyDescent="0.25">
      <c r="M75" s="8"/>
      <c r="N75" s="8"/>
      <c r="O75" s="8"/>
      <c r="P75" s="8"/>
      <c r="Q75" s="8"/>
      <c r="R75" s="22"/>
      <c r="S75" s="22"/>
      <c r="T75" s="8"/>
    </row>
    <row r="76" spans="13:20" x14ac:dyDescent="0.25">
      <c r="M76" s="8"/>
      <c r="N76" s="8"/>
      <c r="O76" s="8"/>
      <c r="P76" s="8"/>
      <c r="Q76" s="8"/>
      <c r="R76" s="22"/>
      <c r="S76" s="22"/>
      <c r="T76" s="8"/>
    </row>
    <row r="77" spans="13:20" x14ac:dyDescent="0.25">
      <c r="M77" s="8"/>
      <c r="N77" s="8"/>
      <c r="O77" s="8"/>
      <c r="P77" s="8"/>
      <c r="Q77" s="8"/>
      <c r="R77" s="22"/>
      <c r="S77" s="22"/>
      <c r="T77" s="8"/>
    </row>
    <row r="78" spans="13:20" x14ac:dyDescent="0.25">
      <c r="M78" s="8"/>
      <c r="N78" s="8"/>
      <c r="O78" s="8"/>
      <c r="P78" s="8"/>
      <c r="Q78" s="8"/>
      <c r="R78" s="22"/>
      <c r="S78" s="22"/>
      <c r="T78" s="8"/>
    </row>
    <row r="79" spans="13:20" x14ac:dyDescent="0.25">
      <c r="M79" s="8"/>
      <c r="N79" s="8"/>
      <c r="O79" s="8"/>
      <c r="P79" s="8"/>
      <c r="Q79" s="8"/>
      <c r="R79" s="22"/>
      <c r="S79" s="22"/>
      <c r="T79" s="8"/>
    </row>
    <row r="80" spans="13:20" x14ac:dyDescent="0.25">
      <c r="M80" s="8"/>
      <c r="N80" s="8"/>
      <c r="O80" s="8"/>
      <c r="P80" s="8"/>
      <c r="Q80" s="8"/>
      <c r="R80" s="17"/>
      <c r="S80" s="22"/>
      <c r="T80" s="8"/>
    </row>
    <row r="81" spans="13:20" x14ac:dyDescent="0.25">
      <c r="M81" s="8"/>
      <c r="N81" s="8"/>
      <c r="O81" s="8"/>
      <c r="P81" s="8"/>
      <c r="Q81" s="8"/>
      <c r="R81" s="8"/>
      <c r="S81" s="22"/>
      <c r="T81" s="8"/>
    </row>
    <row r="82" spans="13:20" x14ac:dyDescent="0.25">
      <c r="M82" s="8"/>
      <c r="N82" s="8"/>
      <c r="O82" s="8"/>
      <c r="P82" s="8"/>
      <c r="Q82" s="8"/>
      <c r="R82" s="22"/>
      <c r="S82" s="22"/>
      <c r="T82" s="8"/>
    </row>
    <row r="83" spans="13:20" x14ac:dyDescent="0.25">
      <c r="M83" s="8"/>
      <c r="N83" s="8"/>
      <c r="O83" s="8"/>
      <c r="P83" s="8"/>
      <c r="Q83" s="8"/>
      <c r="R83" s="22"/>
      <c r="S83" s="22"/>
      <c r="T83" s="8"/>
    </row>
    <row r="84" spans="13:20" x14ac:dyDescent="0.25">
      <c r="M84" s="8"/>
      <c r="N84" s="8"/>
      <c r="O84" s="8"/>
      <c r="P84" s="8"/>
      <c r="Q84" s="8"/>
      <c r="R84" s="22"/>
      <c r="S84" s="22"/>
      <c r="T84" s="8"/>
    </row>
    <row r="85" spans="13:20" x14ac:dyDescent="0.25">
      <c r="M85" s="8"/>
      <c r="N85" s="8"/>
      <c r="O85" s="8"/>
      <c r="P85" s="8"/>
      <c r="Q85" s="8"/>
      <c r="R85" s="22"/>
      <c r="S85" s="22"/>
      <c r="T85" s="8"/>
    </row>
    <row r="86" spans="13:20" x14ac:dyDescent="0.25">
      <c r="M86" s="8"/>
      <c r="N86" s="8"/>
      <c r="O86" s="8"/>
      <c r="P86" s="8"/>
      <c r="Q86" s="8"/>
      <c r="R86" s="17"/>
      <c r="S86" s="22"/>
      <c r="T86" s="8"/>
    </row>
    <row r="87" spans="13:20" x14ac:dyDescent="0.25">
      <c r="M87" s="8"/>
      <c r="N87" s="8"/>
      <c r="O87" s="8"/>
      <c r="P87" s="8"/>
      <c r="Q87" s="8"/>
      <c r="R87" s="8"/>
      <c r="S87" s="22"/>
      <c r="T87" s="8"/>
    </row>
    <row r="88" spans="13:20" x14ac:dyDescent="0.25">
      <c r="M88" s="8"/>
      <c r="N88" s="8"/>
      <c r="O88" s="8"/>
      <c r="P88" s="8"/>
      <c r="Q88" s="8"/>
      <c r="R88" s="22"/>
      <c r="S88" s="22"/>
      <c r="T88" s="8"/>
    </row>
    <row r="89" spans="13:20" x14ac:dyDescent="0.25">
      <c r="M89" s="8"/>
      <c r="N89" s="8"/>
      <c r="O89" s="8"/>
      <c r="P89" s="8"/>
      <c r="Q89" s="8"/>
      <c r="R89" s="22"/>
      <c r="S89" s="22"/>
      <c r="T89" s="8"/>
    </row>
    <row r="90" spans="13:20" x14ac:dyDescent="0.25">
      <c r="M90" s="8"/>
      <c r="N90" s="8"/>
      <c r="O90" s="8"/>
      <c r="P90" s="8"/>
      <c r="Q90" s="8"/>
      <c r="R90" s="22"/>
      <c r="S90" s="22"/>
      <c r="T90" s="8"/>
    </row>
    <row r="91" spans="13:20" x14ac:dyDescent="0.25">
      <c r="M91" s="8"/>
      <c r="N91" s="8"/>
      <c r="O91" s="8"/>
      <c r="P91" s="8"/>
      <c r="Q91" s="8"/>
      <c r="R91" s="22"/>
      <c r="S91" s="22"/>
      <c r="T91" s="8"/>
    </row>
    <row r="92" spans="13:20" x14ac:dyDescent="0.25">
      <c r="M92" s="8"/>
      <c r="N92" s="8"/>
      <c r="O92" s="8"/>
      <c r="P92" s="8"/>
      <c r="Q92" s="8"/>
      <c r="R92" s="22"/>
      <c r="S92" s="22"/>
      <c r="T92" s="8"/>
    </row>
    <row r="93" spans="13:20" x14ac:dyDescent="0.25">
      <c r="M93" s="8"/>
      <c r="N93" s="8"/>
      <c r="O93" s="8"/>
      <c r="P93" s="8"/>
      <c r="Q93" s="8"/>
      <c r="R93" s="22"/>
      <c r="S93" s="22"/>
      <c r="T93" s="8"/>
    </row>
    <row r="94" spans="13:20" x14ac:dyDescent="0.25">
      <c r="M94" s="8"/>
      <c r="N94" s="8"/>
      <c r="O94" s="8"/>
      <c r="P94" s="8"/>
      <c r="Q94" s="8"/>
      <c r="R94" s="22"/>
      <c r="S94" s="22"/>
      <c r="T94" s="8"/>
    </row>
    <row r="95" spans="13:20" x14ac:dyDescent="0.25">
      <c r="M95" s="8"/>
      <c r="N95" s="8"/>
      <c r="O95" s="8"/>
      <c r="P95" s="8"/>
      <c r="Q95" s="8"/>
      <c r="R95" s="22"/>
      <c r="S95" s="22"/>
      <c r="T95" s="8"/>
    </row>
    <row r="96" spans="13:20" x14ac:dyDescent="0.25">
      <c r="M96" s="8"/>
      <c r="N96" s="8"/>
      <c r="O96" s="8"/>
      <c r="P96" s="8"/>
      <c r="Q96" s="8"/>
      <c r="R96" s="22"/>
      <c r="S96" s="22"/>
      <c r="T96" s="8"/>
    </row>
    <row r="97" spans="13:20" x14ac:dyDescent="0.25">
      <c r="M97" s="8"/>
      <c r="N97" s="8"/>
      <c r="O97" s="8"/>
      <c r="P97" s="8"/>
      <c r="Q97" s="8"/>
      <c r="R97" s="22"/>
      <c r="S97" s="22"/>
      <c r="T97" s="8"/>
    </row>
    <row r="98" spans="13:20" x14ac:dyDescent="0.25">
      <c r="M98" s="8"/>
      <c r="N98" s="8"/>
      <c r="O98" s="8"/>
      <c r="P98" s="8"/>
      <c r="Q98" s="8"/>
      <c r="R98" s="22"/>
      <c r="S98" s="22"/>
      <c r="T98" s="8"/>
    </row>
    <row r="99" spans="13:20" x14ac:dyDescent="0.25">
      <c r="M99" s="8"/>
      <c r="N99" s="8"/>
      <c r="O99" s="8"/>
      <c r="P99" s="8"/>
      <c r="Q99" s="8"/>
      <c r="R99" s="22"/>
      <c r="S99" s="22"/>
      <c r="T99" s="8"/>
    </row>
    <row r="100" spans="13:20" x14ac:dyDescent="0.25">
      <c r="M100" s="8"/>
      <c r="N100" s="8"/>
      <c r="O100" s="8"/>
      <c r="P100" s="8"/>
      <c r="Q100" s="8"/>
      <c r="R100" s="22"/>
      <c r="S100" s="22"/>
      <c r="T100" s="8"/>
    </row>
    <row r="101" spans="13:20" x14ac:dyDescent="0.25">
      <c r="M101" s="8"/>
      <c r="N101" s="8"/>
      <c r="O101" s="8"/>
      <c r="P101" s="8"/>
      <c r="Q101" s="8"/>
      <c r="R101" s="22"/>
      <c r="S101" s="22"/>
      <c r="T101" s="8"/>
    </row>
    <row r="102" spans="13:20" x14ac:dyDescent="0.25">
      <c r="M102" s="8"/>
      <c r="N102" s="8"/>
      <c r="O102" s="8"/>
      <c r="P102" s="8"/>
      <c r="Q102" s="8"/>
      <c r="R102" s="22"/>
      <c r="S102" s="22"/>
      <c r="T102" s="8"/>
    </row>
    <row r="103" spans="13:20" x14ac:dyDescent="0.25">
      <c r="M103" s="8"/>
      <c r="N103" s="8"/>
      <c r="O103" s="8"/>
      <c r="P103" s="8"/>
      <c r="Q103" s="8"/>
      <c r="R103" s="22"/>
      <c r="S103" s="22"/>
      <c r="T103" s="8"/>
    </row>
    <row r="104" spans="13:20" x14ac:dyDescent="0.25">
      <c r="M104" s="8"/>
      <c r="N104" s="8"/>
      <c r="O104" s="8"/>
      <c r="P104" s="8"/>
      <c r="Q104" s="8"/>
      <c r="R104" s="22"/>
      <c r="S104" s="22"/>
      <c r="T104" s="8"/>
    </row>
    <row r="105" spans="13:20" x14ac:dyDescent="0.25">
      <c r="M105" s="8"/>
      <c r="N105" s="8"/>
      <c r="O105" s="8"/>
      <c r="P105" s="8"/>
      <c r="Q105" s="8"/>
      <c r="R105" s="22"/>
      <c r="S105" s="22"/>
      <c r="T105" s="8"/>
    </row>
    <row r="106" spans="13:20" x14ac:dyDescent="0.25">
      <c r="M106" s="8"/>
      <c r="N106" s="8"/>
      <c r="O106" s="8"/>
      <c r="P106" s="8"/>
      <c r="Q106" s="8"/>
      <c r="R106" s="22"/>
      <c r="S106" s="22"/>
      <c r="T106" s="8"/>
    </row>
    <row r="107" spans="13:20" x14ac:dyDescent="0.25">
      <c r="M107" s="8"/>
      <c r="N107" s="8"/>
      <c r="O107" s="8"/>
      <c r="P107" s="8"/>
      <c r="Q107" s="8"/>
      <c r="R107" s="22"/>
      <c r="S107" s="22"/>
      <c r="T107" s="8"/>
    </row>
    <row r="108" spans="13:20" x14ac:dyDescent="0.25">
      <c r="M108" s="8"/>
      <c r="N108" s="8"/>
      <c r="O108" s="8"/>
      <c r="P108" s="8"/>
      <c r="Q108" s="8"/>
      <c r="R108" s="22"/>
      <c r="S108" s="22"/>
      <c r="T108" s="8"/>
    </row>
    <row r="109" spans="13:20" x14ac:dyDescent="0.25">
      <c r="M109" s="8"/>
      <c r="N109" s="8"/>
      <c r="O109" s="8"/>
      <c r="P109" s="8"/>
      <c r="Q109" s="8"/>
      <c r="R109" s="22"/>
      <c r="S109" s="22"/>
      <c r="T109" s="8"/>
    </row>
  </sheetData>
  <sheetProtection sheet="1" objects="1" scenarios="1"/>
  <dataConsolidate link="1"/>
  <mergeCells count="2">
    <mergeCell ref="B9:C9"/>
    <mergeCell ref="H27:I27"/>
  </mergeCells>
  <phoneticPr fontId="13" type="noConversion"/>
  <printOptions horizontalCentered="1"/>
  <pageMargins left="0.55118110236220474" right="0.39370078740157483" top="0.98425196850393704" bottom="0.78740157480314965" header="0.51181102362204722" footer="0.51181102362204722"/>
  <pageSetup paperSize="9" orientation="portrait" r:id="rId1"/>
  <headerFooter alignWithMargins="0">
    <oddFooter>&amp;C&amp;F</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Orgenheter!$G$3:$G$20</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17"/>
    <pageSetUpPr fitToPage="1"/>
  </sheetPr>
  <dimension ref="A1:AD89"/>
  <sheetViews>
    <sheetView workbookViewId="0">
      <selection activeCell="B17" sqref="B17"/>
    </sheetView>
  </sheetViews>
  <sheetFormatPr defaultColWidth="8.85546875" defaultRowHeight="15" x14ac:dyDescent="0.25"/>
  <cols>
    <col min="3" max="3" width="32.85546875" customWidth="1"/>
    <col min="4" max="4" width="14" customWidth="1"/>
    <col min="5" max="5" width="15.140625" customWidth="1"/>
    <col min="6" max="6" width="9.7109375" style="15" customWidth="1"/>
    <col min="7" max="7" width="6.7109375" style="15" customWidth="1"/>
    <col min="8" max="8" width="13.7109375" customWidth="1"/>
    <col min="9" max="11" width="10.42578125" customWidth="1"/>
    <col min="12" max="12" width="14.7109375" customWidth="1"/>
    <col min="13" max="13" width="12" customWidth="1"/>
    <col min="14" max="15" width="10.42578125" style="27" customWidth="1"/>
    <col min="16" max="17" width="14.42578125" customWidth="1"/>
    <col min="18" max="18" width="11.140625" customWidth="1"/>
    <col min="19" max="19" width="9.42578125" customWidth="1"/>
    <col min="20" max="20" width="9.7109375" customWidth="1"/>
    <col min="21" max="21" width="14.42578125" customWidth="1"/>
    <col min="22" max="22" width="13.28515625" customWidth="1"/>
    <col min="23" max="25" width="8.85546875" customWidth="1"/>
    <col min="26" max="26" width="12.42578125" customWidth="1"/>
    <col min="27" max="27" width="22.28515625" customWidth="1"/>
    <col min="28" max="28" width="24" customWidth="1"/>
    <col min="29" max="29" width="11.5703125" customWidth="1"/>
    <col min="30" max="30" width="11.140625" customWidth="1"/>
    <col min="31" max="31" width="5.85546875" customWidth="1"/>
    <col min="32" max="32" width="20.42578125" customWidth="1"/>
  </cols>
  <sheetData>
    <row r="1" spans="1:30" ht="18.75" x14ac:dyDescent="0.3">
      <c r="A1" s="73"/>
      <c r="B1" s="74"/>
      <c r="C1" s="74"/>
      <c r="D1" s="74"/>
      <c r="E1" s="75"/>
      <c r="F1" s="115"/>
      <c r="G1" s="115"/>
      <c r="H1" s="75"/>
      <c r="I1" s="75"/>
      <c r="J1" s="75"/>
      <c r="K1" s="75"/>
      <c r="L1" s="75"/>
      <c r="M1" s="75"/>
      <c r="N1" s="121"/>
      <c r="O1" s="121"/>
      <c r="P1" s="75"/>
      <c r="Q1" s="75"/>
      <c r="R1" s="75"/>
      <c r="S1" s="76"/>
      <c r="Y1">
        <v>1</v>
      </c>
      <c r="Z1" s="306"/>
      <c r="AA1" s="307" t="s">
        <v>2</v>
      </c>
      <c r="AB1" s="308"/>
      <c r="AC1" s="308"/>
      <c r="AD1" s="309"/>
    </row>
    <row r="2" spans="1:30" ht="15.75" thickBot="1" x14ac:dyDescent="0.3">
      <c r="A2" s="71"/>
      <c r="B2" s="18"/>
      <c r="C2" s="18"/>
      <c r="D2" s="107" t="s">
        <v>317</v>
      </c>
      <c r="E2" s="108"/>
      <c r="F2" s="116"/>
      <c r="G2" s="117"/>
      <c r="H2" s="64" t="s">
        <v>319</v>
      </c>
      <c r="I2" s="66"/>
      <c r="J2" s="108"/>
      <c r="K2" s="108"/>
      <c r="L2" s="140" t="s">
        <v>320</v>
      </c>
      <c r="M2" s="141"/>
      <c r="N2" s="142"/>
      <c r="O2" s="143"/>
      <c r="P2" s="18"/>
      <c r="Q2" s="18"/>
      <c r="R2" s="18"/>
      <c r="S2" s="72"/>
      <c r="Y2">
        <v>2</v>
      </c>
      <c r="Z2" s="307" t="s">
        <v>58</v>
      </c>
      <c r="AA2" s="306" t="s">
        <v>352</v>
      </c>
      <c r="AB2" s="310" t="s">
        <v>353</v>
      </c>
      <c r="AC2" s="310" t="s">
        <v>350</v>
      </c>
      <c r="AD2" s="311" t="s">
        <v>351</v>
      </c>
    </row>
    <row r="3" spans="1:30" ht="29.25" x14ac:dyDescent="0.25">
      <c r="A3" s="124" t="s">
        <v>64</v>
      </c>
      <c r="B3" s="125" t="s">
        <v>394</v>
      </c>
      <c r="C3" s="125" t="s">
        <v>33</v>
      </c>
      <c r="D3" s="126" t="s">
        <v>315</v>
      </c>
      <c r="E3" s="125" t="s">
        <v>326</v>
      </c>
      <c r="F3" s="127" t="s">
        <v>59</v>
      </c>
      <c r="G3" s="128" t="s">
        <v>60</v>
      </c>
      <c r="H3" s="126" t="s">
        <v>315</v>
      </c>
      <c r="I3" s="125" t="s">
        <v>326</v>
      </c>
      <c r="J3" s="127" t="s">
        <v>59</v>
      </c>
      <c r="K3" s="128" t="s">
        <v>60</v>
      </c>
      <c r="L3" s="126" t="s">
        <v>315</v>
      </c>
      <c r="M3" s="125" t="s">
        <v>326</v>
      </c>
      <c r="N3" s="129" t="s">
        <v>59</v>
      </c>
      <c r="O3" s="151" t="s">
        <v>60</v>
      </c>
      <c r="P3" s="68" t="s">
        <v>358</v>
      </c>
      <c r="Q3" s="68" t="s">
        <v>357</v>
      </c>
      <c r="R3" s="125" t="s">
        <v>59</v>
      </c>
      <c r="S3" s="69" t="s">
        <v>60</v>
      </c>
      <c r="T3" s="1"/>
      <c r="W3" s="1"/>
      <c r="Y3">
        <v>3</v>
      </c>
      <c r="Z3" s="306">
        <v>1620</v>
      </c>
      <c r="AA3" s="322">
        <v>55312.50017051</v>
      </c>
      <c r="AB3" s="323">
        <v>329737.50101647084</v>
      </c>
      <c r="AC3" s="324">
        <v>9.3750000289000006</v>
      </c>
      <c r="AD3" s="314">
        <v>9.3750000289000006</v>
      </c>
    </row>
    <row r="4" spans="1:30" x14ac:dyDescent="0.25">
      <c r="A4" s="77" t="s">
        <v>321</v>
      </c>
      <c r="B4" s="61">
        <v>1620</v>
      </c>
      <c r="C4" s="78" t="str">
        <f>VLOOKUP(B4,Orgenheter!$A$3:$C$166,2,FALSE)</f>
        <v>Inst för språkstudier</v>
      </c>
      <c r="D4" s="282">
        <f t="shared" ref="D4" si="0">IF(ISERROR(VLOOKUP(B4,$Z$3:$AB$20,2,FALSE)),"",VLOOKUP(B4,$Z$3:$AB$20,2,FALSE))</f>
        <v>55312.50017051</v>
      </c>
      <c r="E4" s="67">
        <f>IF(ISERROR(VLOOKUP(B4,$Z$3:$AB$20,3,FALSE)),"",VLOOKUP(B4,$Z$3:$AB$20,3,FALSE))</f>
        <v>329737.50101647084</v>
      </c>
      <c r="F4" s="46">
        <f>IF(ISERROR(VLOOKUP(B4,$Z$3:$AE$20,4,FALSE)),"",VLOOKUP(B4,$Z$3:$AE$20,4,FALSE))</f>
        <v>9.3750000289000006</v>
      </c>
      <c r="G4" s="46">
        <f>IF(ISERROR(VLOOKUP(B4,$Z$3:$AE$20,5,FALSE)),"",VLOOKUP(B4,$Z$3:$AE$20,5,FALSE))</f>
        <v>9.3750000289000006</v>
      </c>
      <c r="H4" s="282" t="str">
        <f>IF(ISERROR(VLOOKUP(B4,$Z$28:$AB$47,2,FALSE)),"",VLOOKUP(B4,$Z$28:$AB$47,2,FALSE))</f>
        <v/>
      </c>
      <c r="I4" s="67" t="str">
        <f>IF(ISERROR(VLOOKUP(B4,$Z$28:$AB$47,3,FALSE)),"",VLOOKUP(B4,$Z$28:$AB$47,3,FALSE))</f>
        <v/>
      </c>
      <c r="J4" s="46" t="str">
        <f>IF(ISERROR(VLOOKUP(B4,$Z$28:$AE$47,4,FALSE)),"",VLOOKUP(B4,$Z$28:$AE$47,4,FALSE))</f>
        <v/>
      </c>
      <c r="K4" s="46" t="str">
        <f>IF(ISERROR(VLOOKUP(B4,$Z$28:$AE$47,5,FALSE)),"",VLOOKUP(B4,$Z$28:$AE$47,5,FALSE))</f>
        <v/>
      </c>
      <c r="L4" s="282">
        <f>IF(ISERROR(VLOOKUP(B4,$Z$53:$AB$64,2,FALSE)),"",VLOOKUP(B4,$Z$53:$AB$64,2,FALSE)*-1)</f>
        <v>0</v>
      </c>
      <c r="M4" s="67">
        <f>IF(ISERROR(VLOOKUP(B4,$Z$53:$AB$64,3,FALSE)),"",VLOOKUP(B4,$Z$53:$AB$64,3,FALSE)*-1)</f>
        <v>0</v>
      </c>
      <c r="N4" s="122">
        <f>IF(ISERROR(VLOOKUP(B4,$Z$53:$AE$64,4,FALSE)),"",VLOOKUP(B4,$Z$53:$AE$64,4,FALSE)*-1)</f>
        <v>0</v>
      </c>
      <c r="O4" s="152">
        <f>IF(ISERROR(VLOOKUP(B4,$Z$53:$AE$64,5,FALSE)),"",VLOOKUP(B4,$Z$53:$AE$64,5,FALSE)*-1)</f>
        <v>0</v>
      </c>
      <c r="P4" s="67">
        <f t="shared" ref="P4" si="1">SUM(D4,H4,L4)</f>
        <v>55312.50017051</v>
      </c>
      <c r="Q4" s="67">
        <f>SUM(E4,I4,M4)</f>
        <v>329737.50101647084</v>
      </c>
      <c r="R4" s="46">
        <f t="shared" ref="R4" si="2">SUM(F4,J4,N4)</f>
        <v>9.3750000289000006</v>
      </c>
      <c r="S4" s="130">
        <f t="shared" ref="S4" si="3">SUM(G4,K4,O4)</f>
        <v>9.3750000289000006</v>
      </c>
      <c r="Y4">
        <v>4</v>
      </c>
      <c r="Z4" s="315">
        <v>1630</v>
      </c>
      <c r="AA4" s="325">
        <v>7375</v>
      </c>
      <c r="AB4" s="35">
        <v>43965</v>
      </c>
      <c r="AC4" s="15">
        <v>1.25</v>
      </c>
      <c r="AD4" s="317">
        <v>1.25</v>
      </c>
    </row>
    <row r="5" spans="1:30" x14ac:dyDescent="0.25">
      <c r="A5" s="71"/>
      <c r="B5" s="18">
        <v>1630</v>
      </c>
      <c r="C5" s="78" t="str">
        <f>VLOOKUP(B5,Orgenheter!$A$3:$C$166,2,FALSE)</f>
        <v>Inst för ide- o samhällsstudier</v>
      </c>
      <c r="D5" s="282">
        <f t="shared" ref="D5:D7" si="4">IF(ISERROR(VLOOKUP(B5,$Z$3:$AB$20,2,FALSE)),"",VLOOKUP(B5,$Z$3:$AB$20,2,FALSE))</f>
        <v>7375</v>
      </c>
      <c r="E5" s="67">
        <f t="shared" ref="E5:E7" si="5">IF(ISERROR(VLOOKUP(B5,$Z$3:$AB$20,3,FALSE)),"",VLOOKUP(B5,$Z$3:$AB$20,3,FALSE))</f>
        <v>43965</v>
      </c>
      <c r="F5" s="46">
        <f t="shared" ref="F5:F7" si="6">IF(ISERROR(VLOOKUP(B5,$Z$3:$AE$20,4,FALSE)),"",VLOOKUP(B5,$Z$3:$AE$20,4,FALSE))</f>
        <v>1.25</v>
      </c>
      <c r="G5" s="46">
        <f t="shared" ref="G5:G7" si="7">IF(ISERROR(VLOOKUP(B5,$Z$3:$AE$20,5,FALSE)),"",VLOOKUP(B5,$Z$3:$AE$20,5,FALSE))</f>
        <v>1.25</v>
      </c>
      <c r="H5" s="282" t="str">
        <f t="shared" ref="H5:H7" si="8">IF(ISERROR(VLOOKUP(B5,$Z$28:$AB$47,2,FALSE)),"",VLOOKUP(B5,$Z$28:$AB$47,2,FALSE))</f>
        <v/>
      </c>
      <c r="I5" s="67" t="str">
        <f t="shared" ref="I5:I7" si="9">IF(ISERROR(VLOOKUP(B5,$Z$28:$AB$47,3,FALSE)),"",VLOOKUP(B5,$Z$28:$AB$47,3,FALSE))</f>
        <v/>
      </c>
      <c r="J5" s="46" t="str">
        <f t="shared" ref="J5:J7" si="10">IF(ISERROR(VLOOKUP(B5,$Z$28:$AE$47,4,FALSE)),"",VLOOKUP(B5,$Z$28:$AE$47,4,FALSE))</f>
        <v/>
      </c>
      <c r="K5" s="46" t="str">
        <f t="shared" ref="K5:K7" si="11">IF(ISERROR(VLOOKUP(B5,$Z$28:$AE$47,5,FALSE)),"",VLOOKUP(B5,$Z$28:$AE$47,5,FALSE))</f>
        <v/>
      </c>
      <c r="L5" s="282">
        <f t="shared" ref="L5" si="12">IF(ISERROR(VLOOKUP(B5,$Z$53:$AB$64,2,FALSE)),"",VLOOKUP(B5,$Z$53:$AB$64,2,FALSE)*-1)</f>
        <v>0</v>
      </c>
      <c r="M5" s="67">
        <f t="shared" ref="M5" si="13">IF(ISERROR(VLOOKUP(B5,$Z$53:$AB$64,3,FALSE)),"",VLOOKUP(B5,$Z$53:$AB$64,3,FALSE)*-1)</f>
        <v>0</v>
      </c>
      <c r="N5" s="122">
        <f t="shared" ref="N5" si="14">IF(ISERROR(VLOOKUP(B5,$Z$53:$AE$64,4,FALSE)),"",VLOOKUP(B5,$Z$53:$AE$64,4,FALSE)*-1)</f>
        <v>0</v>
      </c>
      <c r="O5" s="152">
        <f t="shared" ref="O5" si="15">IF(ISERROR(VLOOKUP(B5,$Z$53:$AE$64,5,FALSE)),"",VLOOKUP(B5,$Z$53:$AE$64,5,FALSE)*-1)</f>
        <v>0</v>
      </c>
      <c r="P5" s="67">
        <f t="shared" ref="P5:P7" si="16">SUM(D5,H5,L5)</f>
        <v>7375</v>
      </c>
      <c r="Q5" s="67">
        <f t="shared" ref="Q5:Q7" si="17">SUM(E5,I5,M5)</f>
        <v>43965</v>
      </c>
      <c r="R5" s="46">
        <f t="shared" ref="R5:R7" si="18">SUM(F5,J5,N5)</f>
        <v>1.25</v>
      </c>
      <c r="S5" s="130">
        <f t="shared" ref="S5:S7" si="19">SUM(G5,K5,O5)</f>
        <v>1.25</v>
      </c>
      <c r="Y5">
        <v>5</v>
      </c>
      <c r="Z5" s="315">
        <v>1650</v>
      </c>
      <c r="AA5" s="325">
        <v>943300.00354339986</v>
      </c>
      <c r="AB5" s="35">
        <v>1976189.1316908821</v>
      </c>
      <c r="AC5" s="15">
        <v>28.625000096000001</v>
      </c>
      <c r="AD5" s="317">
        <v>28.625000096000001</v>
      </c>
    </row>
    <row r="6" spans="1:30" x14ac:dyDescent="0.25">
      <c r="A6" s="71"/>
      <c r="B6" s="18">
        <v>1640</v>
      </c>
      <c r="C6" s="78" t="str">
        <f>VLOOKUP(B6,Orgenheter!$A$3:$C$166,2,FALSE)</f>
        <v>Inst för kultur- o medievetenskap</v>
      </c>
      <c r="D6" s="282" t="str">
        <f t="shared" si="4"/>
        <v/>
      </c>
      <c r="E6" s="67" t="str">
        <f t="shared" si="5"/>
        <v/>
      </c>
      <c r="F6" s="46" t="str">
        <f t="shared" si="6"/>
        <v/>
      </c>
      <c r="G6" s="46" t="str">
        <f t="shared" si="7"/>
        <v/>
      </c>
      <c r="H6" s="282">
        <f t="shared" si="8"/>
        <v>0</v>
      </c>
      <c r="I6" s="67">
        <f t="shared" si="9"/>
        <v>0</v>
      </c>
      <c r="J6" s="46">
        <f t="shared" si="10"/>
        <v>0</v>
      </c>
      <c r="K6" s="46">
        <f t="shared" si="11"/>
        <v>0</v>
      </c>
      <c r="L6" s="282" t="str">
        <f t="shared" ref="L6:L7" si="20">IF(ISERROR(VLOOKUP(B6,$Z$53:$AB$64,2,FALSE)),"",VLOOKUP(B6,$Z$53:$AB$64,2,FALSE)*-1)</f>
        <v/>
      </c>
      <c r="M6" s="67" t="str">
        <f t="shared" ref="M6:M7" si="21">IF(ISERROR(VLOOKUP(B6,$Z$53:$AB$64,3,FALSE)),"",VLOOKUP(B6,$Z$53:$AB$64,3,FALSE)*-1)</f>
        <v/>
      </c>
      <c r="N6" s="122" t="str">
        <f t="shared" ref="N6:N7" si="22">IF(ISERROR(VLOOKUP(B6,$Z$53:$AE$64,4,FALSE)),"",VLOOKUP(B6,$Z$53:$AE$64,4,FALSE)*-1)</f>
        <v/>
      </c>
      <c r="O6" s="152" t="str">
        <f t="shared" ref="O6:O7" si="23">IF(ISERROR(VLOOKUP(B6,$Z$53:$AE$64,5,FALSE)),"",VLOOKUP(B6,$Z$53:$AE$64,5,FALSE)*-1)</f>
        <v/>
      </c>
      <c r="P6" s="67">
        <f t="shared" si="16"/>
        <v>0</v>
      </c>
      <c r="Q6" s="67">
        <f t="shared" si="17"/>
        <v>0</v>
      </c>
      <c r="R6" s="46">
        <f t="shared" si="18"/>
        <v>0</v>
      </c>
      <c r="S6" s="130">
        <f t="shared" si="19"/>
        <v>0</v>
      </c>
      <c r="Y6">
        <v>6</v>
      </c>
      <c r="Z6" s="315">
        <v>2180</v>
      </c>
      <c r="AA6" s="325">
        <v>95774.999931350001</v>
      </c>
      <c r="AB6" s="35">
        <v>776194.99835121597</v>
      </c>
      <c r="AC6" s="15">
        <v>13.749999968499999</v>
      </c>
      <c r="AD6" s="317">
        <v>13.749999968499999</v>
      </c>
    </row>
    <row r="7" spans="1:30" x14ac:dyDescent="0.25">
      <c r="A7" s="71"/>
      <c r="B7" s="162">
        <v>1650</v>
      </c>
      <c r="C7" s="78" t="str">
        <f>VLOOKUP(B7,Orgenheter!$A$3:$C$166,2,FALSE)</f>
        <v xml:space="preserve">Estetiska ämnen               </v>
      </c>
      <c r="D7" s="282">
        <f t="shared" si="4"/>
        <v>943300.00354339986</v>
      </c>
      <c r="E7" s="67">
        <f t="shared" si="5"/>
        <v>1976189.1316908821</v>
      </c>
      <c r="F7" s="46">
        <f t="shared" si="6"/>
        <v>28.625000096000001</v>
      </c>
      <c r="G7" s="46">
        <f t="shared" si="7"/>
        <v>28.625000096000001</v>
      </c>
      <c r="H7" s="282">
        <f t="shared" si="8"/>
        <v>295</v>
      </c>
      <c r="I7" s="67">
        <f t="shared" si="9"/>
        <v>1635.4979999999998</v>
      </c>
      <c r="J7" s="46">
        <f t="shared" si="10"/>
        <v>0.05</v>
      </c>
      <c r="K7" s="46">
        <f t="shared" si="11"/>
        <v>0.05</v>
      </c>
      <c r="L7" s="282" t="str">
        <f t="shared" si="20"/>
        <v/>
      </c>
      <c r="M7" s="67" t="str">
        <f t="shared" si="21"/>
        <v/>
      </c>
      <c r="N7" s="122" t="str">
        <f t="shared" si="22"/>
        <v/>
      </c>
      <c r="O7" s="152" t="str">
        <f t="shared" si="23"/>
        <v/>
      </c>
      <c r="P7" s="67">
        <f t="shared" si="16"/>
        <v>943595.00354339986</v>
      </c>
      <c r="Q7" s="67">
        <f t="shared" si="17"/>
        <v>1977824.6296908821</v>
      </c>
      <c r="R7" s="46">
        <f t="shared" si="18"/>
        <v>28.675000096000002</v>
      </c>
      <c r="S7" s="130">
        <f t="shared" si="19"/>
        <v>28.675000096000002</v>
      </c>
      <c r="Y7">
        <v>7</v>
      </c>
      <c r="Z7" s="315">
        <v>2193</v>
      </c>
      <c r="AA7" s="325">
        <v>137912.49982005</v>
      </c>
      <c r="AB7" s="35">
        <v>1293062.9983061519</v>
      </c>
      <c r="AC7" s="15">
        <v>23.374999969499999</v>
      </c>
      <c r="AD7" s="317">
        <v>23.374999969499999</v>
      </c>
    </row>
    <row r="8" spans="1:30" ht="15.75" thickBot="1" x14ac:dyDescent="0.3">
      <c r="A8" s="100"/>
      <c r="B8" s="79"/>
      <c r="C8" s="79"/>
      <c r="D8" s="193"/>
      <c r="E8" s="67"/>
      <c r="F8" s="46"/>
      <c r="G8" s="194"/>
      <c r="H8" s="109"/>
      <c r="I8" s="110"/>
      <c r="J8" s="110"/>
      <c r="K8" s="111"/>
      <c r="L8" s="109"/>
      <c r="M8" s="110"/>
      <c r="N8" s="131"/>
      <c r="O8" s="153"/>
      <c r="P8" s="110"/>
      <c r="Q8" s="110"/>
      <c r="R8" s="110"/>
      <c r="S8" s="132"/>
      <c r="Y8">
        <v>8</v>
      </c>
      <c r="Z8" s="315">
        <v>2650</v>
      </c>
      <c r="AA8" s="325">
        <v>85775.000382619997</v>
      </c>
      <c r="AB8" s="35">
        <v>280314.00197290559</v>
      </c>
      <c r="AC8" s="15">
        <v>6.2500000538</v>
      </c>
      <c r="AD8" s="317">
        <v>6.2500000538</v>
      </c>
    </row>
    <row r="9" spans="1:30" ht="15.75" thickBot="1" x14ac:dyDescent="0.3">
      <c r="A9" s="36" t="s">
        <v>34</v>
      </c>
      <c r="B9" s="93"/>
      <c r="C9" s="286"/>
      <c r="D9" s="133">
        <f>SUM(D4:D7)</f>
        <v>1005987.5037139099</v>
      </c>
      <c r="E9" s="134">
        <f>SUM(E4:E7)</f>
        <v>2349891.6327073528</v>
      </c>
      <c r="F9" s="135">
        <f>SUM(F4:F7)</f>
        <v>39.250000124899998</v>
      </c>
      <c r="G9" s="135">
        <f>SUM(G4:G7)</f>
        <v>39.250000124899998</v>
      </c>
      <c r="H9" s="134">
        <f>SUM(H4:H7)</f>
        <v>295</v>
      </c>
      <c r="I9" s="134">
        <f t="shared" ref="I9:Q9" si="24">SUM(I4:I7)</f>
        <v>1635.4979999999998</v>
      </c>
      <c r="J9" s="136">
        <f>SUM(J4:J7)</f>
        <v>0.05</v>
      </c>
      <c r="K9" s="136">
        <f>SUM(K4:K7)</f>
        <v>0.05</v>
      </c>
      <c r="L9" s="134">
        <f t="shared" si="24"/>
        <v>0</v>
      </c>
      <c r="M9" s="134">
        <f t="shared" si="24"/>
        <v>0</v>
      </c>
      <c r="N9" s="135">
        <f t="shared" si="24"/>
        <v>0</v>
      </c>
      <c r="O9" s="285">
        <f t="shared" si="24"/>
        <v>0</v>
      </c>
      <c r="P9" s="283">
        <f t="shared" si="24"/>
        <v>1006282.5037139099</v>
      </c>
      <c r="Q9" s="145">
        <f t="shared" si="24"/>
        <v>2351527.1307073529</v>
      </c>
      <c r="R9" s="146">
        <f>SUM(R4:R7)</f>
        <v>39.300000124900002</v>
      </c>
      <c r="S9" s="147">
        <f>SUM(S4:S7)</f>
        <v>39.300000124900002</v>
      </c>
      <c r="Y9">
        <v>9</v>
      </c>
      <c r="Z9" s="315">
        <v>5730</v>
      </c>
      <c r="AA9" s="325">
        <v>2775.0000088800002</v>
      </c>
      <c r="AB9" s="35">
        <v>6916.8750221340006</v>
      </c>
      <c r="AC9" s="15">
        <v>0.12500000040000001</v>
      </c>
      <c r="AD9" s="317">
        <v>0.12500000040000001</v>
      </c>
    </row>
    <row r="10" spans="1:30" x14ac:dyDescent="0.25">
      <c r="A10" s="71"/>
      <c r="B10" s="18"/>
      <c r="C10" s="18"/>
      <c r="D10" s="193"/>
      <c r="E10" s="67"/>
      <c r="F10" s="46"/>
      <c r="G10" s="194"/>
      <c r="H10" s="112"/>
      <c r="I10" s="113"/>
      <c r="J10" s="113"/>
      <c r="K10" s="114"/>
      <c r="L10" s="193"/>
      <c r="M10" s="67"/>
      <c r="N10" s="122"/>
      <c r="O10" s="152"/>
      <c r="P10" s="113"/>
      <c r="Q10" s="113"/>
      <c r="R10" s="113"/>
      <c r="S10" s="148"/>
      <c r="Y10">
        <v>10</v>
      </c>
      <c r="Z10" s="315">
        <v>5740</v>
      </c>
      <c r="AA10" s="325">
        <v>248250.00133826002</v>
      </c>
      <c r="AB10" s="35">
        <v>1414962.0117058228</v>
      </c>
      <c r="AC10" s="15">
        <v>25.500000210800003</v>
      </c>
      <c r="AD10" s="317">
        <v>25.500000210800003</v>
      </c>
    </row>
    <row r="11" spans="1:30" ht="29.25" x14ac:dyDescent="0.25">
      <c r="A11" s="187" t="s">
        <v>64</v>
      </c>
      <c r="B11" s="188" t="s">
        <v>394</v>
      </c>
      <c r="C11" s="189" t="s">
        <v>33</v>
      </c>
      <c r="D11" s="195" t="s">
        <v>315</v>
      </c>
      <c r="E11" s="28" t="s">
        <v>326</v>
      </c>
      <c r="F11" s="118" t="s">
        <v>59</v>
      </c>
      <c r="G11" s="196" t="s">
        <v>60</v>
      </c>
      <c r="H11" s="195" t="s">
        <v>315</v>
      </c>
      <c r="I11" s="28" t="s">
        <v>326</v>
      </c>
      <c r="J11" s="118" t="s">
        <v>59</v>
      </c>
      <c r="K11" s="196" t="s">
        <v>60</v>
      </c>
      <c r="L11" s="195" t="s">
        <v>315</v>
      </c>
      <c r="M11" s="28" t="s">
        <v>326</v>
      </c>
      <c r="N11" s="123" t="s">
        <v>59</v>
      </c>
      <c r="O11" s="154" t="s">
        <v>60</v>
      </c>
      <c r="P11" s="120" t="s">
        <v>358</v>
      </c>
      <c r="Q11" s="120" t="s">
        <v>357</v>
      </c>
      <c r="R11" s="28" t="s">
        <v>59</v>
      </c>
      <c r="S11" s="70" t="s">
        <v>60</v>
      </c>
      <c r="Y11">
        <v>11</v>
      </c>
      <c r="Z11" s="318" t="s">
        <v>436</v>
      </c>
      <c r="AA11" s="326">
        <v>1576475.0051950698</v>
      </c>
      <c r="AB11" s="327">
        <v>6121342.518065583</v>
      </c>
      <c r="AC11" s="328">
        <v>108.25000032789998</v>
      </c>
      <c r="AD11" s="321">
        <v>108.25000032789998</v>
      </c>
    </row>
    <row r="12" spans="1:30" x14ac:dyDescent="0.25">
      <c r="A12" s="77" t="s">
        <v>322</v>
      </c>
      <c r="B12" s="18">
        <v>2180</v>
      </c>
      <c r="C12" s="78" t="str">
        <f>VLOOKUP(B12,Orgenheter!$A$3:$C$166,2,FALSE)</f>
        <v xml:space="preserve">Pedagogik                     </v>
      </c>
      <c r="D12" s="282">
        <f t="shared" ref="D12:D13" si="25">IF(ISERROR(VLOOKUP(B12,$Z$3:$AB$20,2,FALSE)),"",VLOOKUP(B12,$Z$3:$AB$20,2,FALSE))</f>
        <v>95774.999931350001</v>
      </c>
      <c r="E12" s="67">
        <f>IF(ISERROR(VLOOKUP(B12,$Z$3:$AB$20,3,FALSE)),"",VLOOKUP(B12,$Z$3:$AB$20,3,FALSE))</f>
        <v>776194.99835121597</v>
      </c>
      <c r="F12" s="46">
        <f>IF(ISERROR(VLOOKUP(B12,$Z$3:$AE$20,4,FALSE)),"",VLOOKUP(B12,$Z$3:$AE$20,4,FALSE))</f>
        <v>13.749999968499999</v>
      </c>
      <c r="G12" s="46">
        <f>IF(ISERROR(VLOOKUP(B12,$Z$3:$AE$20,5,FALSE)),"",VLOOKUP(B12,$Z$3:$AE$20,5,FALSE))</f>
        <v>13.749999968499999</v>
      </c>
      <c r="H12" s="282">
        <f>IF(ISERROR(VLOOKUP(B12,$Z$28:$AB$47,2,FALSE)),"",VLOOKUP(B12,$Z$28:$AB$47,2,FALSE))</f>
        <v>25960.000180146671</v>
      </c>
      <c r="I12" s="67">
        <f>IF(ISERROR(VLOOKUP(B12,$Z$28:$AB$47,3,FALSE)),"",VLOOKUP(B12,$Z$28:$AB$47,3,FALSE))</f>
        <v>227253.31357700028</v>
      </c>
      <c r="J12" s="46">
        <f>IF(ISERROR(VLOOKUP(B12,$Z$28:$AE$47,4,FALSE)),"",VLOOKUP(B12,$Z$28:$AE$47,4,FALSE))</f>
        <v>4.4000000305333336</v>
      </c>
      <c r="K12" s="46">
        <f>IF(ISERROR(VLOOKUP(B12,$Z$28:$AE$47,5,FALSE)),"",VLOOKUP(B12,$Z$28:$AE$47,5,FALSE))</f>
        <v>4.4000000305333336</v>
      </c>
      <c r="L12" s="282">
        <f>IF(ISERROR(VLOOKUP(B12,$Z$53:$AB$64,2,FALSE)),"",VLOOKUP(B12,$Z$53:$AB$64,2,FALSE)*-1)</f>
        <v>-9816.6667215999987</v>
      </c>
      <c r="M12" s="67">
        <f>IF(ISERROR(VLOOKUP(B12,$Z$53:$AB$64,3,FALSE)),"",VLOOKUP(B12,$Z$53:$AB$64,3,FALSE)*-1)</f>
        <v>-66509.725325483872</v>
      </c>
      <c r="N12" s="122">
        <f>IF(ISERROR(VLOOKUP(B12,$Z$53:$AE$64,4,FALSE)),"",VLOOKUP(B12,$Z$53:$AE$64,4,FALSE)*-1)</f>
        <v>-1.2500000059999998</v>
      </c>
      <c r="O12" s="152">
        <f>IF(ISERROR(VLOOKUP(B12,$Z$53:$AE$64,5,FALSE)),"",VLOOKUP(B12,$Z$53:$AE$64,5,FALSE)*-1)</f>
        <v>-1.2500000059999998</v>
      </c>
      <c r="P12" s="67">
        <f t="shared" ref="P12:P13" si="26">SUM(D12,H12,L12)</f>
        <v>111918.33338989667</v>
      </c>
      <c r="Q12" s="67">
        <f t="shared" ref="Q12:S13" si="27">SUM(E12,I12,M12)</f>
        <v>936938.58660273242</v>
      </c>
      <c r="R12" s="46">
        <f t="shared" si="27"/>
        <v>16.899999993033333</v>
      </c>
      <c r="S12" s="130">
        <f t="shared" si="27"/>
        <v>16.899999993033333</v>
      </c>
      <c r="T12" s="35"/>
      <c r="Y12">
        <v>12</v>
      </c>
    </row>
    <row r="13" spans="1:30" x14ac:dyDescent="0.25">
      <c r="A13" s="71"/>
      <c r="B13" s="18">
        <v>2193</v>
      </c>
      <c r="C13" s="78" t="str">
        <f>VLOOKUP(B13,Orgenheter!$A$3:$C$166,2,FALSE)</f>
        <v xml:space="preserve">TUV </v>
      </c>
      <c r="D13" s="282">
        <f t="shared" si="25"/>
        <v>137912.49982005</v>
      </c>
      <c r="E13" s="67">
        <f t="shared" ref="E13" si="28">IF(ISERROR(VLOOKUP(B13,$Z$3:$AB$20,3,FALSE)),"",VLOOKUP(B13,$Z$3:$AB$20,3,FALSE))</f>
        <v>1293062.9983061519</v>
      </c>
      <c r="F13" s="46">
        <f t="shared" ref="F13" si="29">IF(ISERROR(VLOOKUP(B13,$Z$3:$AE$20,4,FALSE)),"",VLOOKUP(B13,$Z$3:$AE$20,4,FALSE))</f>
        <v>23.374999969499999</v>
      </c>
      <c r="G13" s="46">
        <f t="shared" ref="G13" si="30">IF(ISERROR(VLOOKUP(B13,$Z$3:$AE$20,5,FALSE)),"",VLOOKUP(B13,$Z$3:$AE$20,5,FALSE))</f>
        <v>23.374999969499999</v>
      </c>
      <c r="H13" s="282">
        <f t="shared" ref="H13" si="31">IF(ISERROR(VLOOKUP(B13,$Z$28:$AB$47,2,FALSE)),"",VLOOKUP(B13,$Z$28:$AB$47,2,FALSE))</f>
        <v>25566.666906600003</v>
      </c>
      <c r="I13" s="67">
        <f t="shared" ref="I13" si="32">IF(ISERROR(VLOOKUP(B13,$Z$28:$AB$47,3,FALSE)),"",VLOOKUP(B13,$Z$28:$AB$47,3,FALSE))</f>
        <v>223810.08210037154</v>
      </c>
      <c r="J13" s="46">
        <f t="shared" ref="J13" si="33">IF(ISERROR(VLOOKUP(B13,$Z$28:$AE$47,4,FALSE)),"",VLOOKUP(B13,$Z$28:$AE$47,4,FALSE))</f>
        <v>4.3333333740000004</v>
      </c>
      <c r="K13" s="46">
        <f t="shared" ref="K13" si="34">IF(ISERROR(VLOOKUP(B13,$Z$28:$AE$47,5,FALSE)),"",VLOOKUP(B13,$Z$28:$AE$47,5,FALSE))</f>
        <v>4.3333333740000004</v>
      </c>
      <c r="L13" s="282">
        <f t="shared" ref="L13" si="35">IF(ISERROR(VLOOKUP(B13,$Z$53:$AB$64,2,FALSE)),"",VLOOKUP(B13,$Z$53:$AB$64,2,FALSE)*-1)</f>
        <v>-7571.6666383466672</v>
      </c>
      <c r="M13" s="67">
        <f t="shared" ref="M13" si="36">IF(ISERROR(VLOOKUP(B13,$Z$53:$AB$64,3,FALSE)),"",VLOOKUP(B13,$Z$53:$AB$64,3,FALSE)*-1)</f>
        <v>-65335.289752087308</v>
      </c>
      <c r="N13" s="122">
        <f t="shared" ref="N13" si="37">IF(ISERROR(VLOOKUP(B13,$Z$53:$AE$64,4,FALSE)),"",VLOOKUP(B13,$Z$53:$AE$64,4,FALSE)*-1)</f>
        <v>-1.2833333285333335</v>
      </c>
      <c r="O13" s="152">
        <f t="shared" ref="O13" si="38">IF(ISERROR(VLOOKUP(B13,$Z$53:$AE$64,5,FALSE)),"",VLOOKUP(B13,$Z$53:$AE$64,5,FALSE)*-1)</f>
        <v>-1.2833333285333335</v>
      </c>
      <c r="P13" s="67">
        <f t="shared" si="26"/>
        <v>155907.50008830332</v>
      </c>
      <c r="Q13" s="67">
        <f t="shared" si="27"/>
        <v>1451537.7906544362</v>
      </c>
      <c r="R13" s="46">
        <f t="shared" si="27"/>
        <v>26.425000014966667</v>
      </c>
      <c r="S13" s="130">
        <f t="shared" si="27"/>
        <v>26.425000014966667</v>
      </c>
      <c r="T13" s="35"/>
      <c r="Y13">
        <v>13</v>
      </c>
    </row>
    <row r="14" spans="1:30" x14ac:dyDescent="0.25">
      <c r="B14">
        <v>2200</v>
      </c>
      <c r="C14" s="78" t="str">
        <f>VLOOKUP(B14,Orgenheter!$A$3:$C$166,2,FALSE)</f>
        <v xml:space="preserve">Inst för psykologi            </v>
      </c>
      <c r="D14" s="282" t="str">
        <f t="shared" ref="D14" si="39">IF(ISERROR(VLOOKUP(B14,$Z$3:$AB$20,2,FALSE)),"",VLOOKUP(B14,$Z$3:$AB$20,2,FALSE))</f>
        <v/>
      </c>
      <c r="E14" s="67" t="str">
        <f t="shared" ref="E14" si="40">IF(ISERROR(VLOOKUP(B14,$Z$3:$AB$20,3,FALSE)),"",VLOOKUP(B14,$Z$3:$AB$20,3,FALSE))</f>
        <v/>
      </c>
      <c r="F14" s="46" t="str">
        <f t="shared" ref="F14" si="41">IF(ISERROR(VLOOKUP(B14,$Z$3:$AE$20,4,FALSE)),"",VLOOKUP(B14,$Z$3:$AE$20,4,FALSE))</f>
        <v/>
      </c>
      <c r="G14" s="46" t="str">
        <f t="shared" ref="G14" si="42">IF(ISERROR(VLOOKUP(B14,$Z$3:$AE$20,5,FALSE)),"",VLOOKUP(B14,$Z$3:$AE$20,5,FALSE))</f>
        <v/>
      </c>
      <c r="H14" s="282" t="str">
        <f t="shared" ref="H14" si="43">IF(ISERROR(VLOOKUP(B14,$Z$28:$AB$47,2,FALSE)),"",VLOOKUP(B14,$Z$28:$AB$47,2,FALSE))</f>
        <v/>
      </c>
      <c r="I14" s="67" t="str">
        <f t="shared" ref="I14" si="44">IF(ISERROR(VLOOKUP(B14,$Z$28:$AB$47,3,FALSE)),"",VLOOKUP(B14,$Z$28:$AB$47,3,FALSE))</f>
        <v/>
      </c>
      <c r="J14" s="46" t="str">
        <f t="shared" ref="J14" si="45">IF(ISERROR(VLOOKUP(B14,$Z$28:$AE$47,4,FALSE)),"",VLOOKUP(B14,$Z$28:$AE$47,4,FALSE))</f>
        <v/>
      </c>
      <c r="K14" s="46" t="str">
        <f t="shared" ref="K14" si="46">IF(ISERROR(VLOOKUP(B14,$Z$28:$AE$47,5,FALSE)),"",VLOOKUP(B14,$Z$28:$AE$47,5,FALSE))</f>
        <v/>
      </c>
      <c r="L14" s="282" t="str">
        <f t="shared" ref="L14" si="47">IF(ISERROR(VLOOKUP(B14,$Z$53:$AB$64,2,FALSE)),"",VLOOKUP(B14,$Z$53:$AB$64,2,FALSE)*-1)</f>
        <v/>
      </c>
      <c r="M14" s="67" t="str">
        <f t="shared" ref="M14" si="48">IF(ISERROR(VLOOKUP(B14,$Z$53:$AB$64,3,FALSE)),"",VLOOKUP(B14,$Z$53:$AB$64,3,FALSE)*-1)</f>
        <v/>
      </c>
      <c r="N14" s="122" t="str">
        <f t="shared" ref="N14" si="49">IF(ISERROR(VLOOKUP(B14,$Z$53:$AE$64,4,FALSE)),"",VLOOKUP(B14,$Z$53:$AE$64,4,FALSE)*-1)</f>
        <v/>
      </c>
      <c r="O14" s="152" t="str">
        <f t="shared" ref="O14" si="50">IF(ISERROR(VLOOKUP(B14,$Z$53:$AE$64,5,FALSE)),"",VLOOKUP(B14,$Z$53:$AE$64,5,FALSE)*-1)</f>
        <v/>
      </c>
      <c r="P14" s="67">
        <f t="shared" ref="P14" si="51">SUM(D14,H14,L14)</f>
        <v>0</v>
      </c>
      <c r="Q14" s="67">
        <f t="shared" ref="Q14" si="52">SUM(E14,I14,M14)</f>
        <v>0</v>
      </c>
      <c r="R14" s="46">
        <f t="shared" ref="R14" si="53">SUM(F14,J14,N14)</f>
        <v>0</v>
      </c>
      <c r="S14" s="130">
        <f t="shared" ref="S14" si="54">SUM(G14,K14,O14)</f>
        <v>0</v>
      </c>
      <c r="T14" s="35"/>
      <c r="Y14">
        <v>14</v>
      </c>
    </row>
    <row r="15" spans="1:30" x14ac:dyDescent="0.25">
      <c r="A15" s="71"/>
      <c r="B15" s="18">
        <v>2300</v>
      </c>
      <c r="C15" s="78" t="str">
        <f>VLOOKUP(B15,Orgenheter!$A$3:$C$166,2,FALSE)</f>
        <v xml:space="preserve">Juridiska institutionen       </v>
      </c>
      <c r="D15" s="282" t="str">
        <f>IF(ISERROR(VLOOKUP(B15,$Z$3:$AB$20,2,FALSE)),"",VLOOKUP(B15,$Z$3:$AB$20,2,FALSE))</f>
        <v/>
      </c>
      <c r="E15" s="67" t="str">
        <f>IF(ISERROR(VLOOKUP(B15,$Z$3:$AB$20,3,FALSE)),"",VLOOKUP(B15,$Z$3:$AB$20,3,FALSE))</f>
        <v/>
      </c>
      <c r="F15" s="46" t="str">
        <f>IF(ISERROR(VLOOKUP(B15,$Z$3:$AE$20,4,FALSE)),"",VLOOKUP(B15,$Z$3:$AE$20,4,FALSE))</f>
        <v/>
      </c>
      <c r="G15" s="46" t="str">
        <f>IF(ISERROR(VLOOKUP(B15,$Z$3:$AE$20,5,FALSE)),"",VLOOKUP(B15,$Z$3:$AE$20,5,FALSE))</f>
        <v/>
      </c>
      <c r="H15" s="282" t="str">
        <f>IF(ISERROR(VLOOKUP(B15,$Z$28:$AB$47,2,FALSE)),"",VLOOKUP(B15,$Z$28:$AB$47,2,FALSE))</f>
        <v/>
      </c>
      <c r="I15" s="67" t="str">
        <f>IF(ISERROR(VLOOKUP(B15,$Z$28:$AB$47,3,FALSE)),"",VLOOKUP(B15,$Z$28:$AB$47,3,FALSE))</f>
        <v/>
      </c>
      <c r="J15" s="46" t="str">
        <f>IF(ISERROR(VLOOKUP(B15,$Z$28:$AE$47,4,FALSE)),"",VLOOKUP(B15,$Z$28:$AE$47,4,FALSE))</f>
        <v/>
      </c>
      <c r="K15" s="46" t="str">
        <f>IF(ISERROR(VLOOKUP(B15,$Z$28:$AE$47,5,FALSE)),"",VLOOKUP(B15,$Z$28:$AE$47,5,FALSE))</f>
        <v/>
      </c>
      <c r="L15" s="282" t="str">
        <f>IF(ISERROR(VLOOKUP(B15,$Z$53:$AB$64,2,FALSE)),"",VLOOKUP(B15,$Z$53:$AB$64,2,FALSE)*-1)</f>
        <v/>
      </c>
      <c r="M15" s="67" t="str">
        <f>IF(ISERROR(VLOOKUP(B15,$Z$53:$AB$64,3,FALSE)),"",VLOOKUP(B15,$Z$53:$AB$64,3,FALSE)*-1)</f>
        <v/>
      </c>
      <c r="N15" s="122" t="str">
        <f>IF(ISERROR(VLOOKUP(B15,$Z$53:$AE$64,4,FALSE)),"",VLOOKUP(B15,$Z$53:$AE$64,4,FALSE)*-1)</f>
        <v/>
      </c>
      <c r="O15" s="152" t="str">
        <f>IF(ISERROR(VLOOKUP(B15,$Z$53:$AE$64,5,FALSE)),"",VLOOKUP(B15,$Z$53:$AE$64,5,FALSE)*-1)</f>
        <v/>
      </c>
      <c r="P15" s="67">
        <f t="shared" ref="P15:S16" si="55">SUM(D15,H15,L15)</f>
        <v>0</v>
      </c>
      <c r="Q15" s="67">
        <f t="shared" si="55"/>
        <v>0</v>
      </c>
      <c r="R15" s="46">
        <f t="shared" si="55"/>
        <v>0</v>
      </c>
      <c r="S15" s="130">
        <f t="shared" si="55"/>
        <v>0</v>
      </c>
      <c r="T15" s="35"/>
      <c r="Y15">
        <v>15</v>
      </c>
    </row>
    <row r="16" spans="1:30" x14ac:dyDescent="0.25">
      <c r="A16" s="71"/>
      <c r="B16" s="197">
        <v>2650</v>
      </c>
      <c r="C16" s="78" t="str">
        <f>VLOOKUP(B16,Orgenheter!$A$3:$C$166,2,FALSE)</f>
        <v xml:space="preserve">Kostvetenskap                 </v>
      </c>
      <c r="D16" s="282">
        <f>IF(ISERROR(VLOOKUP(B16,$Z$3:$AB$20,2,FALSE)),"",VLOOKUP(B16,$Z$3:$AB$20,2,FALSE))</f>
        <v>85775.000382619997</v>
      </c>
      <c r="E16" s="67">
        <f>IF(ISERROR(VLOOKUP(B16,$Z$3:$AB$20,3,FALSE)),"",VLOOKUP(B16,$Z$3:$AB$20,3,FALSE))</f>
        <v>280314.00197290559</v>
      </c>
      <c r="F16" s="46">
        <f>IF(ISERROR(VLOOKUP(B16,$Z$3:$AE$20,4,FALSE)),"",VLOOKUP(B16,$Z$3:$AE$20,4,FALSE))</f>
        <v>6.2500000538</v>
      </c>
      <c r="G16" s="46">
        <f>IF(ISERROR(VLOOKUP(B16,$Z$3:$AE$20,5,FALSE)),"",VLOOKUP(B16,$Z$3:$AE$20,5,FALSE))</f>
        <v>6.2500000538</v>
      </c>
      <c r="H16" s="282">
        <f>IF(ISERROR(VLOOKUP(B16,$Z$28:$AB$47,2,FALSE)),"",VLOOKUP(B16,$Z$28:$AB$47,2,FALSE))</f>
        <v>0</v>
      </c>
      <c r="I16" s="67">
        <f>IF(ISERROR(VLOOKUP(B16,$Z$28:$AB$47,3,FALSE)),"",VLOOKUP(B16,$Z$28:$AB$47,3,FALSE))</f>
        <v>0</v>
      </c>
      <c r="J16" s="46">
        <f>IF(ISERROR(VLOOKUP(B16,$Z$28:$AE$47,4,FALSE)),"",VLOOKUP(B16,$Z$28:$AE$47,4,FALSE))</f>
        <v>0</v>
      </c>
      <c r="K16" s="46">
        <f>IF(ISERROR(VLOOKUP(B16,$Z$28:$AE$47,5,FALSE)),"",VLOOKUP(B16,$Z$28:$AE$47,5,FALSE))</f>
        <v>0</v>
      </c>
      <c r="L16" s="282" t="str">
        <f>IF(ISERROR(VLOOKUP(B16,$Z$53:$AB$64,2,FALSE)),"",VLOOKUP(B16,$Z$53:$AB$64,2,FALSE)*-1)</f>
        <v/>
      </c>
      <c r="M16" s="67" t="str">
        <f>IF(ISERROR(VLOOKUP(B16,$Z$53:$AB$64,3,FALSE)),"",VLOOKUP(B16,$Z$53:$AB$64,3,FALSE)*-1)</f>
        <v/>
      </c>
      <c r="N16" s="122" t="str">
        <f>IF(ISERROR(VLOOKUP(B16,$Z$53:$AE$64,4,FALSE)),"",VLOOKUP(B16,$Z$53:$AE$64,4,FALSE)*-1)</f>
        <v/>
      </c>
      <c r="O16" s="152" t="str">
        <f>IF(ISERROR(VLOOKUP(B16,$Z$53:$AE$64,5,FALSE)),"",VLOOKUP(B16,$Z$53:$AE$64,5,FALSE)*-1)</f>
        <v/>
      </c>
      <c r="P16" s="67">
        <f t="shared" si="55"/>
        <v>85775.000382619997</v>
      </c>
      <c r="Q16" s="67">
        <f t="shared" si="55"/>
        <v>280314.00197290559</v>
      </c>
      <c r="R16" s="46">
        <f t="shared" si="55"/>
        <v>6.2500000538</v>
      </c>
      <c r="S16" s="130">
        <f t="shared" si="55"/>
        <v>6.2500000538</v>
      </c>
      <c r="T16" s="35"/>
      <c r="Y16">
        <v>16</v>
      </c>
    </row>
    <row r="17" spans="1:30" ht="15.75" thickBot="1" x14ac:dyDescent="0.3">
      <c r="A17" s="71"/>
      <c r="B17" s="18"/>
      <c r="C17" s="18"/>
      <c r="D17" s="109"/>
      <c r="E17" s="110"/>
      <c r="F17" s="94"/>
      <c r="G17" s="119"/>
      <c r="H17" s="109"/>
      <c r="I17" s="110"/>
      <c r="J17" s="110"/>
      <c r="K17" s="111"/>
      <c r="L17" s="109"/>
      <c r="M17" s="110"/>
      <c r="N17" s="122"/>
      <c r="O17" s="152"/>
      <c r="P17" s="110"/>
      <c r="Q17" s="110"/>
      <c r="R17" s="110"/>
      <c r="S17" s="132"/>
      <c r="T17" s="35"/>
      <c r="Y17">
        <v>17</v>
      </c>
    </row>
    <row r="18" spans="1:30" ht="15.75" thickBot="1" x14ac:dyDescent="0.3">
      <c r="A18" s="36" t="s">
        <v>35</v>
      </c>
      <c r="B18" s="93"/>
      <c r="C18" s="286"/>
      <c r="D18" s="133">
        <f t="shared" ref="D18:S18" si="56">SUM(D12:D16)</f>
        <v>319462.50013402</v>
      </c>
      <c r="E18" s="134">
        <f t="shared" si="56"/>
        <v>2349571.9986302732</v>
      </c>
      <c r="F18" s="136">
        <f t="shared" si="56"/>
        <v>43.374999991800003</v>
      </c>
      <c r="G18" s="136">
        <f t="shared" si="56"/>
        <v>43.374999991800003</v>
      </c>
      <c r="H18" s="134">
        <f t="shared" si="56"/>
        <v>51526.667086746675</v>
      </c>
      <c r="I18" s="134">
        <f t="shared" si="56"/>
        <v>451063.39567737182</v>
      </c>
      <c r="J18" s="136">
        <f t="shared" si="56"/>
        <v>8.7333334045333331</v>
      </c>
      <c r="K18" s="136">
        <f t="shared" si="56"/>
        <v>8.7333334045333331</v>
      </c>
      <c r="L18" s="134">
        <f t="shared" si="56"/>
        <v>-17388.333359946664</v>
      </c>
      <c r="M18" s="134">
        <f t="shared" si="56"/>
        <v>-131845.01507757118</v>
      </c>
      <c r="N18" s="135">
        <f t="shared" si="56"/>
        <v>-2.5333333345333333</v>
      </c>
      <c r="O18" s="285">
        <f t="shared" si="56"/>
        <v>-2.5333333345333333</v>
      </c>
      <c r="P18" s="283">
        <f t="shared" si="56"/>
        <v>353600.83386082004</v>
      </c>
      <c r="Q18" s="145">
        <f t="shared" si="56"/>
        <v>2668790.3792300746</v>
      </c>
      <c r="R18" s="146">
        <f t="shared" si="56"/>
        <v>49.575000061800004</v>
      </c>
      <c r="S18" s="147">
        <f t="shared" si="56"/>
        <v>49.575000061800004</v>
      </c>
      <c r="T18" s="35"/>
      <c r="Y18">
        <v>18</v>
      </c>
    </row>
    <row r="19" spans="1:30" x14ac:dyDescent="0.25">
      <c r="A19" s="71"/>
      <c r="B19" s="18"/>
      <c r="C19" s="18"/>
      <c r="D19" s="193"/>
      <c r="E19" s="67"/>
      <c r="F19" s="46"/>
      <c r="G19" s="46"/>
      <c r="H19" s="112"/>
      <c r="I19" s="113"/>
      <c r="J19" s="113"/>
      <c r="K19" s="114"/>
      <c r="L19" s="193"/>
      <c r="M19" s="67"/>
      <c r="N19" s="122"/>
      <c r="O19" s="152"/>
      <c r="P19" s="113"/>
      <c r="Q19" s="113"/>
      <c r="R19" s="113"/>
      <c r="S19" s="148"/>
      <c r="T19" s="35"/>
      <c r="Y19">
        <v>19</v>
      </c>
    </row>
    <row r="20" spans="1:30" ht="29.25" x14ac:dyDescent="0.25">
      <c r="A20" s="187" t="s">
        <v>64</v>
      </c>
      <c r="B20" s="188" t="s">
        <v>394</v>
      </c>
      <c r="C20" s="189" t="s">
        <v>33</v>
      </c>
      <c r="D20" s="195" t="s">
        <v>315</v>
      </c>
      <c r="E20" s="28" t="s">
        <v>326</v>
      </c>
      <c r="F20" s="118" t="s">
        <v>59</v>
      </c>
      <c r="G20" s="118" t="s">
        <v>60</v>
      </c>
      <c r="H20" s="195" t="s">
        <v>315</v>
      </c>
      <c r="I20" s="28" t="s">
        <v>326</v>
      </c>
      <c r="J20" s="118" t="s">
        <v>59</v>
      </c>
      <c r="K20" s="196" t="s">
        <v>60</v>
      </c>
      <c r="L20" s="195" t="s">
        <v>315</v>
      </c>
      <c r="M20" s="28" t="s">
        <v>326</v>
      </c>
      <c r="N20" s="123" t="s">
        <v>59</v>
      </c>
      <c r="O20" s="154" t="s">
        <v>60</v>
      </c>
      <c r="P20" s="120" t="s">
        <v>358</v>
      </c>
      <c r="Q20" s="120" t="s">
        <v>357</v>
      </c>
      <c r="R20" s="28" t="s">
        <v>59</v>
      </c>
      <c r="S20" s="70" t="s">
        <v>60</v>
      </c>
      <c r="T20" s="35"/>
      <c r="Y20">
        <v>20</v>
      </c>
    </row>
    <row r="21" spans="1:30" x14ac:dyDescent="0.25">
      <c r="A21" s="77" t="s">
        <v>324</v>
      </c>
      <c r="B21" s="185">
        <v>3306</v>
      </c>
      <c r="C21" s="78" t="str">
        <f>VLOOKUP(B21,Orgenheter!$A$3:$C$166,2,FALSE)</f>
        <v xml:space="preserve">Idrottsmedicin                </v>
      </c>
      <c r="D21" s="282" t="str">
        <f t="shared" ref="D21" si="57">IF(ISERROR(VLOOKUP(B21,$Z$3:$AB$20,2,FALSE)),"",VLOOKUP(B21,$Z$3:$AB$20,2,FALSE))</f>
        <v/>
      </c>
      <c r="E21" s="67" t="str">
        <f t="shared" ref="E21" si="58">IF(ISERROR(VLOOKUP(B21,$Z$3:$AB$20,3,FALSE)),"",VLOOKUP(B21,$Z$3:$AB$20,3,FALSE))</f>
        <v/>
      </c>
      <c r="F21" s="46" t="str">
        <f t="shared" ref="F21" si="59">IF(ISERROR(VLOOKUP(B21,$Z$3:$AE$20,4,FALSE)),"",VLOOKUP(B21,$Z$3:$AE$20,4,FALSE))</f>
        <v/>
      </c>
      <c r="G21" s="46" t="str">
        <f t="shared" ref="G21" si="60">IF(ISERROR(VLOOKUP(B21,$Z$3:$AE$20,5,FALSE)),"",VLOOKUP(B21,$Z$3:$AE$20,5,FALSE))</f>
        <v/>
      </c>
      <c r="H21" s="282">
        <f>IF(ISERROR(VLOOKUP(B21,$Z$28:$AB$47,2,FALSE)),"",VLOOKUP(B21,$Z$28:$AB$47,2,FALSE))</f>
        <v>0</v>
      </c>
      <c r="I21" s="67">
        <f>IF(ISERROR(VLOOKUP(B21,$Z$28:$AB$47,3,FALSE)),"",VLOOKUP(B21,$Z$28:$AB$47,3,FALSE))</f>
        <v>0</v>
      </c>
      <c r="J21" s="46">
        <f>IF(ISERROR(VLOOKUP(B21,$Z$28:$AE$47,4,FALSE)),"",VLOOKUP(B21,$Z$28:$AE$47,4,FALSE))</f>
        <v>0</v>
      </c>
      <c r="K21" s="46">
        <f>IF(ISERROR(VLOOKUP(B21,$Z$28:$AE$47,5,FALSE)),"",VLOOKUP(B21,$Z$28:$AE$47,5,FALSE))</f>
        <v>0</v>
      </c>
      <c r="L21" s="282" t="str">
        <f t="shared" ref="L21" si="61">IF(ISERROR(VLOOKUP(B21,$Z$53:$AB$64,2,FALSE)),"",VLOOKUP(B21,$Z$53:$AB$64,2,FALSE)*-1)</f>
        <v/>
      </c>
      <c r="M21" s="67" t="str">
        <f t="shared" ref="M21" si="62">IF(ISERROR(VLOOKUP(B21,$Z$53:$AB$64,3,FALSE)),"",VLOOKUP(B21,$Z$53:$AB$64,3,FALSE)*-1)</f>
        <v/>
      </c>
      <c r="N21" s="122" t="str">
        <f t="shared" ref="N21" si="63">IF(ISERROR(VLOOKUP(B21,$Z$53:$AE$64,4,FALSE)),"",VLOOKUP(B21,$Z$53:$AE$64,4,FALSE)*-1)</f>
        <v/>
      </c>
      <c r="O21" s="152" t="str">
        <f t="shared" ref="O21" si="64">IF(ISERROR(VLOOKUP(B21,$Z$53:$AE$64,5,FALSE)),"",VLOOKUP(B21,$Z$53:$AE$64,5,FALSE)*-1)</f>
        <v/>
      </c>
      <c r="P21" s="67">
        <f t="shared" ref="P21" si="65">SUM(D21,H21,L21)</f>
        <v>0</v>
      </c>
      <c r="Q21" s="67">
        <f t="shared" ref="Q21" si="66">SUM(E21,I21,M21)</f>
        <v>0</v>
      </c>
      <c r="R21" s="46">
        <f t="shared" ref="R21" si="67">SUM(F21,J21,N21)</f>
        <v>0</v>
      </c>
      <c r="S21" s="130">
        <f t="shared" ref="S21" si="68">SUM(G21,K21,O21)</f>
        <v>0</v>
      </c>
      <c r="T21" s="35"/>
      <c r="Y21">
        <v>21</v>
      </c>
    </row>
    <row r="22" spans="1:30" x14ac:dyDescent="0.25">
      <c r="A22" s="77"/>
      <c r="B22" s="61">
        <v>3850</v>
      </c>
      <c r="C22" s="78" t="str">
        <f>VLOOKUP(B22,Orgenheter!$A$3:$C$166,2,FALSE)</f>
        <v>Epidemiologi och global hälsa</v>
      </c>
      <c r="D22" s="282" t="str">
        <f t="shared" ref="D22" si="69">IF(ISERROR(VLOOKUP(B22,$Z$3:$AB$20,2,FALSE)),"",VLOOKUP(B22,$Z$3:$AB$20,2,FALSE))</f>
        <v/>
      </c>
      <c r="E22" s="67" t="str">
        <f t="shared" ref="E22" si="70">IF(ISERROR(VLOOKUP(B22,$Z$3:$AB$20,3,FALSE)),"",VLOOKUP(B22,$Z$3:$AB$20,3,FALSE))</f>
        <v/>
      </c>
      <c r="F22" s="46" t="str">
        <f t="shared" ref="F22" si="71">IF(ISERROR(VLOOKUP(B22,$Z$3:$AE$20,4,FALSE)),"",VLOOKUP(B22,$Z$3:$AE$20,4,FALSE))</f>
        <v/>
      </c>
      <c r="G22" s="46" t="str">
        <f t="shared" ref="G22" si="72">IF(ISERROR(VLOOKUP(B22,$Z$3:$AE$20,5,FALSE)),"",VLOOKUP(B22,$Z$3:$AE$20,5,FALSE))</f>
        <v/>
      </c>
      <c r="H22" s="282">
        <f>IF(ISERROR(VLOOKUP(B22,$Z$28:$AB$47,2,FALSE)),"",VLOOKUP(B22,$Z$28:$AB$47,2,FALSE))</f>
        <v>2933.3333567999998</v>
      </c>
      <c r="I22" s="67">
        <f>IF(ISERROR(VLOOKUP(B22,$Z$28:$AB$47,3,FALSE)),"",VLOOKUP(B22,$Z$28:$AB$47,3,FALSE))</f>
        <v>6253.165050025319</v>
      </c>
      <c r="J22" s="46">
        <f>IF(ISERROR(VLOOKUP(B22,$Z$28:$AE$47,4,FALSE)),"",VLOOKUP(B22,$Z$28:$AE$47,4,FALSE))</f>
        <v>8.3333333999999995E-2</v>
      </c>
      <c r="K22" s="46">
        <f>IF(ISERROR(VLOOKUP(B22,$Z$28:$AE$47,5,FALSE)),"",VLOOKUP(B22,$Z$28:$AE$47,5,FALSE))</f>
        <v>8.3333333999999995E-2</v>
      </c>
      <c r="L22" s="282" t="str">
        <f t="shared" ref="L22" si="73">IF(ISERROR(VLOOKUP(B22,$Z$53:$AB$64,2,FALSE)),"",VLOOKUP(B22,$Z$53:$AB$64,2,FALSE)*-1)</f>
        <v/>
      </c>
      <c r="M22" s="67" t="str">
        <f t="shared" ref="M22" si="74">IF(ISERROR(VLOOKUP(B22,$Z$53:$AB$64,3,FALSE)),"",VLOOKUP(B22,$Z$53:$AB$64,3,FALSE)*-1)</f>
        <v/>
      </c>
      <c r="N22" s="122" t="str">
        <f t="shared" ref="N22" si="75">IF(ISERROR(VLOOKUP(B22,$Z$53:$AE$64,4,FALSE)),"",VLOOKUP(B22,$Z$53:$AE$64,4,FALSE)*-1)</f>
        <v/>
      </c>
      <c r="O22" s="152" t="str">
        <f t="shared" ref="O22" si="76">IF(ISERROR(VLOOKUP(B22,$Z$53:$AE$64,5,FALSE)),"",VLOOKUP(B22,$Z$53:$AE$64,5,FALSE)*-1)</f>
        <v/>
      </c>
      <c r="P22" s="67">
        <f t="shared" ref="P22" si="77">SUM(D22,H22,L22)</f>
        <v>2933.3333567999998</v>
      </c>
      <c r="Q22" s="67">
        <f t="shared" ref="Q22" si="78">SUM(E22,I22,M22)</f>
        <v>6253.165050025319</v>
      </c>
      <c r="R22" s="46">
        <f t="shared" ref="R22" si="79">SUM(F22,J22,N22)</f>
        <v>8.3333333999999995E-2</v>
      </c>
      <c r="S22" s="130">
        <f t="shared" ref="S22" si="80">SUM(G22,K22,O22)</f>
        <v>8.3333333999999995E-2</v>
      </c>
      <c r="Y22">
        <v>22</v>
      </c>
    </row>
    <row r="23" spans="1:30" ht="15.75" thickBot="1" x14ac:dyDescent="0.3">
      <c r="A23" s="71"/>
      <c r="B23" s="18"/>
      <c r="C23" s="18"/>
      <c r="D23" s="193"/>
      <c r="E23" s="67"/>
      <c r="F23" s="46"/>
      <c r="G23" s="46"/>
      <c r="H23" s="109"/>
      <c r="I23" s="110"/>
      <c r="J23" s="110"/>
      <c r="K23" s="111"/>
      <c r="L23" s="193"/>
      <c r="M23" s="67"/>
      <c r="N23" s="122"/>
      <c r="O23" s="152"/>
      <c r="P23" s="110"/>
      <c r="Q23" s="110"/>
      <c r="R23" s="110"/>
      <c r="S23" s="132"/>
      <c r="Y23">
        <v>23</v>
      </c>
    </row>
    <row r="24" spans="1:30" ht="15.75" thickBot="1" x14ac:dyDescent="0.3">
      <c r="A24" s="36" t="s">
        <v>36</v>
      </c>
      <c r="B24" s="93"/>
      <c r="C24" s="286"/>
      <c r="D24" s="133">
        <f t="shared" ref="D24:O24" si="81">SUM(D21)</f>
        <v>0</v>
      </c>
      <c r="E24" s="134">
        <f t="shared" si="81"/>
        <v>0</v>
      </c>
      <c r="F24" s="136">
        <f t="shared" si="81"/>
        <v>0</v>
      </c>
      <c r="G24" s="136">
        <f t="shared" si="81"/>
        <v>0</v>
      </c>
      <c r="H24" s="134">
        <f>SUM(H21:H22)</f>
        <v>2933.3333567999998</v>
      </c>
      <c r="I24" s="134">
        <f>SUM(I21:I22)</f>
        <v>6253.165050025319</v>
      </c>
      <c r="J24" s="136">
        <f>SUM(J21:J22)</f>
        <v>8.3333333999999995E-2</v>
      </c>
      <c r="K24" s="136">
        <f>SUM(K21:K22)</f>
        <v>8.3333333999999995E-2</v>
      </c>
      <c r="L24" s="134">
        <f t="shared" si="81"/>
        <v>0</v>
      </c>
      <c r="M24" s="134">
        <f t="shared" si="81"/>
        <v>0</v>
      </c>
      <c r="N24" s="135">
        <f t="shared" si="81"/>
        <v>0</v>
      </c>
      <c r="O24" s="285">
        <f t="shared" si="81"/>
        <v>0</v>
      </c>
      <c r="P24" s="283">
        <f>SUM(P21:P22)</f>
        <v>2933.3333567999998</v>
      </c>
      <c r="Q24" s="145">
        <f>SUM(Q21:Q22)</f>
        <v>6253.165050025319</v>
      </c>
      <c r="R24" s="146">
        <f>SUM(R21:R22)</f>
        <v>8.3333333999999995E-2</v>
      </c>
      <c r="S24" s="147">
        <f>SUM(S21:S22)</f>
        <v>8.3333333999999995E-2</v>
      </c>
      <c r="Y24">
        <v>24</v>
      </c>
    </row>
    <row r="25" spans="1:30" x14ac:dyDescent="0.25">
      <c r="A25" s="71"/>
      <c r="B25" s="18"/>
      <c r="C25" s="18"/>
      <c r="D25" s="193"/>
      <c r="E25" s="67"/>
      <c r="F25" s="46"/>
      <c r="G25" s="194"/>
      <c r="H25" s="112"/>
      <c r="I25" s="113"/>
      <c r="J25" s="113"/>
      <c r="K25" s="114"/>
      <c r="L25" s="193"/>
      <c r="M25" s="67"/>
      <c r="N25" s="122"/>
      <c r="O25" s="152"/>
      <c r="P25" s="113"/>
      <c r="Q25" s="113"/>
      <c r="R25" s="113"/>
      <c r="S25" s="148"/>
      <c r="Y25">
        <v>25</v>
      </c>
    </row>
    <row r="26" spans="1:30" ht="29.25" x14ac:dyDescent="0.25">
      <c r="A26" s="187" t="s">
        <v>64</v>
      </c>
      <c r="B26" s="188" t="s">
        <v>394</v>
      </c>
      <c r="C26" s="189" t="s">
        <v>33</v>
      </c>
      <c r="D26" s="195" t="s">
        <v>315</v>
      </c>
      <c r="E26" s="28" t="s">
        <v>326</v>
      </c>
      <c r="F26" s="118" t="s">
        <v>59</v>
      </c>
      <c r="G26" s="196" t="s">
        <v>60</v>
      </c>
      <c r="H26" s="195" t="s">
        <v>315</v>
      </c>
      <c r="I26" s="28" t="s">
        <v>326</v>
      </c>
      <c r="J26" s="118" t="s">
        <v>59</v>
      </c>
      <c r="K26" s="196" t="s">
        <v>60</v>
      </c>
      <c r="L26" s="195" t="s">
        <v>315</v>
      </c>
      <c r="M26" s="28" t="s">
        <v>326</v>
      </c>
      <c r="N26" s="123" t="s">
        <v>59</v>
      </c>
      <c r="O26" s="154" t="s">
        <v>60</v>
      </c>
      <c r="P26" s="120" t="s">
        <v>358</v>
      </c>
      <c r="Q26" s="120" t="s">
        <v>357</v>
      </c>
      <c r="R26" s="28" t="s">
        <v>59</v>
      </c>
      <c r="S26" s="70" t="s">
        <v>60</v>
      </c>
      <c r="T26" s="35"/>
      <c r="Y26">
        <v>26</v>
      </c>
      <c r="AA26" s="60" t="s">
        <v>314</v>
      </c>
    </row>
    <row r="27" spans="1:30" x14ac:dyDescent="0.25">
      <c r="A27" s="77" t="s">
        <v>323</v>
      </c>
      <c r="B27">
        <v>5100</v>
      </c>
      <c r="C27" s="78" t="str">
        <f>VLOOKUP(B27,Orgenheter!$A$3:$C$166,2,FALSE)</f>
        <v>EMG</v>
      </c>
      <c r="D27" s="282" t="str">
        <f>IF(ISERROR(VLOOKUP(B27,$Z$3:$AB$20,2,FALSE)),"",VLOOKUP(B27,$Z$3:$AB$20,2,FALSE))</f>
        <v/>
      </c>
      <c r="E27" s="67" t="str">
        <f>IF(ISERROR(VLOOKUP(B27,$Z$3:$AB$20,3,FALSE)),"",VLOOKUP(B27,$Z$3:$AB$20,3,FALSE))</f>
        <v/>
      </c>
      <c r="F27" s="46" t="str">
        <f>IF(ISERROR(VLOOKUP(B27,$Z$3:$AE$20,4,FALSE)),"",VLOOKUP(B27,$Z$3:$AE$20,4,FALSE))</f>
        <v/>
      </c>
      <c r="G27" s="46" t="str">
        <f>IF(ISERROR(VLOOKUP(B27,$Z$3:$AE$20,5,FALSE)),"",VLOOKUP(B27,$Z$3:$AE$20,5,FALSE))</f>
        <v/>
      </c>
      <c r="H27" s="282" t="str">
        <f t="shared" ref="H27" si="82">IF(ISERROR(VLOOKUP(B27,$Z$28:$AB$47,2,FALSE)),"",VLOOKUP(B27,$Z$28:$AB$47,2,FALSE))</f>
        <v/>
      </c>
      <c r="I27" s="67" t="str">
        <f t="shared" ref="I27" si="83">IF(ISERROR(VLOOKUP(B27,$Z$28:$AB$47,3,FALSE)),"",VLOOKUP(B27,$Z$28:$AB$47,3,FALSE))</f>
        <v/>
      </c>
      <c r="J27" s="46" t="str">
        <f t="shared" ref="J27" si="84">IF(ISERROR(VLOOKUP(B27,$Z$28:$AE$47,4,FALSE)),"",VLOOKUP(B27,$Z$28:$AE$47,4,FALSE))</f>
        <v/>
      </c>
      <c r="K27" s="46" t="str">
        <f t="shared" ref="K27" si="85">IF(ISERROR(VLOOKUP(B27,$Z$28:$AE$47,5,FALSE)),"",VLOOKUP(B27,$Z$28:$AE$47,5,FALSE))</f>
        <v/>
      </c>
      <c r="L27" s="282" t="str">
        <f t="shared" ref="L27" si="86">IF(ISERROR(VLOOKUP(B27,$Z$53:$AB$64,2,FALSE)),"",VLOOKUP(B27,$Z$53:$AB$64,2,FALSE)*-1)</f>
        <v/>
      </c>
      <c r="M27" s="67" t="str">
        <f t="shared" ref="M27" si="87">IF(ISERROR(VLOOKUP(B27,$Z$53:$AB$64,3,FALSE)),"",VLOOKUP(B27,$Z$53:$AB$64,3,FALSE)*-1)</f>
        <v/>
      </c>
      <c r="N27" s="122" t="str">
        <f t="shared" ref="N27" si="88">IF(ISERROR(VLOOKUP(B27,$Z$53:$AE$64,4,FALSE)),"",VLOOKUP(B27,$Z$53:$AE$64,4,FALSE)*-1)</f>
        <v/>
      </c>
      <c r="O27" s="152" t="str">
        <f t="shared" ref="O27" si="89">IF(ISERROR(VLOOKUP(B27,$Z$53:$AE$64,5,FALSE)),"",VLOOKUP(B27,$Z$53:$AE$64,5,FALSE)*-1)</f>
        <v/>
      </c>
      <c r="P27" s="67">
        <f t="shared" ref="P27" si="90">SUM(D27,H27,L27)</f>
        <v>0</v>
      </c>
      <c r="Q27" s="67">
        <f t="shared" ref="Q27" si="91">SUM(E27,I27,M27)</f>
        <v>0</v>
      </c>
      <c r="R27" s="46">
        <f t="shared" ref="R27" si="92">SUM(F27,J27,N27)</f>
        <v>0</v>
      </c>
      <c r="S27" s="130">
        <f t="shared" ref="S27" si="93">SUM(G27,K27,O27)</f>
        <v>0</v>
      </c>
      <c r="Y27">
        <v>27</v>
      </c>
      <c r="Z27" s="60" t="s">
        <v>312</v>
      </c>
      <c r="AA27" t="s">
        <v>480</v>
      </c>
      <c r="AB27" t="s">
        <v>363</v>
      </c>
      <c r="AC27" t="s">
        <v>354</v>
      </c>
      <c r="AD27" t="s">
        <v>355</v>
      </c>
    </row>
    <row r="28" spans="1:30" x14ac:dyDescent="0.25">
      <c r="B28">
        <v>5400</v>
      </c>
      <c r="C28" s="78" t="str">
        <f>VLOOKUP(B28,Orgenheter!$A$3:$C$166,2,FALSE)</f>
        <v xml:space="preserve">Inst för Fysik                </v>
      </c>
      <c r="D28" s="282" t="str">
        <f t="shared" ref="D28:D29" si="94">IF(ISERROR(VLOOKUP(B28,$Z$3:$AB$20,2,FALSE)),"",VLOOKUP(B28,$Z$3:$AB$20,2,FALSE))</f>
        <v/>
      </c>
      <c r="E28" s="67" t="str">
        <f t="shared" ref="E28:E29" si="95">IF(ISERROR(VLOOKUP(B28,$Z$3:$AB$20,3,FALSE)),"",VLOOKUP(B28,$Z$3:$AB$20,3,FALSE))</f>
        <v/>
      </c>
      <c r="F28" s="46" t="str">
        <f t="shared" ref="F28:F29" si="96">IF(ISERROR(VLOOKUP(B28,$Z$3:$AE$20,4,FALSE)),"",VLOOKUP(B28,$Z$3:$AE$20,4,FALSE))</f>
        <v/>
      </c>
      <c r="G28" s="344" t="str">
        <f t="shared" ref="G28:G29" si="97">IF(ISERROR(VLOOKUP(B28,$Z$3:$AE$20,5,FALSE)),"",VLOOKUP(B28,$Z$3:$AE$20,5,FALSE))</f>
        <v/>
      </c>
      <c r="H28" s="282" t="str">
        <f t="shared" ref="H28:H29" si="98">IF(ISERROR(VLOOKUP(B28,$Z$28:$AB$47,2,FALSE)),"",VLOOKUP(B28,$Z$28:$AB$47,2,FALSE))</f>
        <v/>
      </c>
      <c r="I28" s="67" t="str">
        <f t="shared" ref="I28:I29" si="99">IF(ISERROR(VLOOKUP(B28,$Z$28:$AB$47,3,FALSE)),"",VLOOKUP(B28,$Z$28:$AB$47,3,FALSE))</f>
        <v/>
      </c>
      <c r="J28" s="46" t="str">
        <f t="shared" ref="J28:J29" si="100">IF(ISERROR(VLOOKUP(B28,$Z$28:$AE$47,4,FALSE)),"",VLOOKUP(B28,$Z$28:$AE$47,4,FALSE))</f>
        <v/>
      </c>
      <c r="K28" s="344" t="str">
        <f t="shared" ref="K28:K29" si="101">IF(ISERROR(VLOOKUP(B28,$Z$28:$AE$47,5,FALSE)),"",VLOOKUP(B28,$Z$28:$AE$47,5,FALSE))</f>
        <v/>
      </c>
      <c r="L28" s="282" t="str">
        <f t="shared" ref="L28:L29" si="102">IF(ISERROR(VLOOKUP(B28,$Z$53:$AB$64,2,FALSE)),"",VLOOKUP(B28,$Z$53:$AB$64,2,FALSE)*-1)</f>
        <v/>
      </c>
      <c r="M28" s="67" t="str">
        <f t="shared" ref="M28:M29" si="103">IF(ISERROR(VLOOKUP(B28,$Z$53:$AB$64,3,FALSE)),"",VLOOKUP(B28,$Z$53:$AB$64,3,FALSE)*-1)</f>
        <v/>
      </c>
      <c r="N28" s="122" t="str">
        <f t="shared" ref="N28:N29" si="104">IF(ISERROR(VLOOKUP(B28,$Z$53:$AE$64,4,FALSE)),"",VLOOKUP(B28,$Z$53:$AE$64,4,FALSE)*-1)</f>
        <v/>
      </c>
      <c r="O28" s="152" t="str">
        <f t="shared" ref="O28:O29" si="105">IF(ISERROR(VLOOKUP(B28,$Z$53:$AE$64,5,FALSE)),"",VLOOKUP(B28,$Z$53:$AE$64,5,FALSE)*-1)</f>
        <v/>
      </c>
      <c r="P28" s="67">
        <f t="shared" ref="P28:P29" si="106">SUM(D28,H28,L28)</f>
        <v>0</v>
      </c>
      <c r="Q28" s="67">
        <f t="shared" ref="Q28:Q29" si="107">SUM(E28,I28,M28)</f>
        <v>0</v>
      </c>
      <c r="R28" s="46">
        <f t="shared" ref="R28:R29" si="108">SUM(F28,J28,N28)</f>
        <v>0</v>
      </c>
      <c r="S28" s="130">
        <f t="shared" ref="S28:S29" si="109">SUM(G28,K28,O28)</f>
        <v>0</v>
      </c>
      <c r="Y28">
        <v>28</v>
      </c>
      <c r="Z28">
        <v>1640</v>
      </c>
      <c r="AA28" s="35">
        <v>0</v>
      </c>
      <c r="AB28" s="35">
        <v>0</v>
      </c>
      <c r="AC28" s="15">
        <v>0</v>
      </c>
      <c r="AD28" s="15">
        <v>0</v>
      </c>
    </row>
    <row r="29" spans="1:30" x14ac:dyDescent="0.25">
      <c r="B29">
        <v>5410</v>
      </c>
      <c r="C29" s="78" t="str">
        <f>VLOOKUP(B29,Orgenheter!$A$3:$C$166,2,FALSE)</f>
        <v>TFE</v>
      </c>
      <c r="D29" s="282" t="str">
        <f t="shared" si="94"/>
        <v/>
      </c>
      <c r="E29" s="67" t="str">
        <f t="shared" si="95"/>
        <v/>
      </c>
      <c r="F29" s="46" t="str">
        <f t="shared" si="96"/>
        <v/>
      </c>
      <c r="G29" s="344" t="str">
        <f t="shared" si="97"/>
        <v/>
      </c>
      <c r="H29" s="282" t="str">
        <f t="shared" si="98"/>
        <v/>
      </c>
      <c r="I29" s="67" t="str">
        <f t="shared" si="99"/>
        <v/>
      </c>
      <c r="J29" s="46" t="str">
        <f t="shared" si="100"/>
        <v/>
      </c>
      <c r="K29" s="344" t="str">
        <f t="shared" si="101"/>
        <v/>
      </c>
      <c r="L29" s="282" t="str">
        <f t="shared" si="102"/>
        <v/>
      </c>
      <c r="M29" s="67" t="str">
        <f t="shared" si="103"/>
        <v/>
      </c>
      <c r="N29" s="122" t="str">
        <f t="shared" si="104"/>
        <v/>
      </c>
      <c r="O29" s="152" t="str">
        <f t="shared" si="105"/>
        <v/>
      </c>
      <c r="P29" s="67">
        <f t="shared" si="106"/>
        <v>0</v>
      </c>
      <c r="Q29" s="67">
        <f t="shared" si="107"/>
        <v>0</v>
      </c>
      <c r="R29" s="46">
        <f t="shared" si="108"/>
        <v>0</v>
      </c>
      <c r="S29" s="130">
        <f t="shared" si="109"/>
        <v>0</v>
      </c>
      <c r="Y29">
        <v>29</v>
      </c>
      <c r="Z29">
        <v>1650</v>
      </c>
      <c r="AA29" s="35">
        <v>295</v>
      </c>
      <c r="AB29" s="35">
        <v>1635.4979999999998</v>
      </c>
      <c r="AC29" s="15">
        <v>0.05</v>
      </c>
      <c r="AD29" s="15">
        <v>0.05</v>
      </c>
    </row>
    <row r="30" spans="1:30" x14ac:dyDescent="0.25">
      <c r="B30">
        <v>5500</v>
      </c>
      <c r="C30" s="78" t="str">
        <f>VLOOKUP(B30,Orgenheter!$A$3:$C$166,2,FALSE)</f>
        <v xml:space="preserve">Kemiska institutionen         </v>
      </c>
      <c r="D30" s="282" t="str">
        <f t="shared" ref="D30" si="110">IF(ISERROR(VLOOKUP(B30,$Z$3:$AB$20,2,FALSE)),"",VLOOKUP(B30,$Z$3:$AB$20,2,FALSE))</f>
        <v/>
      </c>
      <c r="E30" s="67" t="str">
        <f t="shared" ref="E30" si="111">IF(ISERROR(VLOOKUP(B30,$Z$3:$AB$20,3,FALSE)),"",VLOOKUP(B30,$Z$3:$AB$20,3,FALSE))</f>
        <v/>
      </c>
      <c r="F30" s="46" t="str">
        <f t="shared" ref="F30" si="112">IF(ISERROR(VLOOKUP(B30,$Z$3:$AE$20,4,FALSE)),"",VLOOKUP(B30,$Z$3:$AE$20,4,FALSE))</f>
        <v/>
      </c>
      <c r="G30" s="344" t="str">
        <f t="shared" ref="G30" si="113">IF(ISERROR(VLOOKUP(B30,$Z$3:$AE$20,5,FALSE)),"",VLOOKUP(B30,$Z$3:$AE$20,5,FALSE))</f>
        <v/>
      </c>
      <c r="H30" s="282" t="str">
        <f t="shared" ref="H30" si="114">IF(ISERROR(VLOOKUP(B30,$Z$28:$AB$47,2,FALSE)),"",VLOOKUP(B30,$Z$28:$AB$47,2,FALSE))</f>
        <v/>
      </c>
      <c r="I30" s="67" t="str">
        <f t="shared" ref="I30" si="115">IF(ISERROR(VLOOKUP(B30,$Z$28:$AB$47,3,FALSE)),"",VLOOKUP(B30,$Z$28:$AB$47,3,FALSE))</f>
        <v/>
      </c>
      <c r="J30" s="46" t="str">
        <f t="shared" ref="J30" si="116">IF(ISERROR(VLOOKUP(B30,$Z$28:$AE$47,4,FALSE)),"",VLOOKUP(B30,$Z$28:$AE$47,4,FALSE))</f>
        <v/>
      </c>
      <c r="K30" s="344" t="str">
        <f t="shared" ref="K30" si="117">IF(ISERROR(VLOOKUP(B30,$Z$28:$AE$47,5,FALSE)),"",VLOOKUP(B30,$Z$28:$AE$47,5,FALSE))</f>
        <v/>
      </c>
      <c r="L30" s="282" t="str">
        <f t="shared" ref="L30" si="118">IF(ISERROR(VLOOKUP(B30,$Z$53:$AB$64,2,FALSE)),"",VLOOKUP(B30,$Z$53:$AB$64,2,FALSE)*-1)</f>
        <v/>
      </c>
      <c r="M30" s="67" t="str">
        <f t="shared" ref="M30" si="119">IF(ISERROR(VLOOKUP(B30,$Z$53:$AB$64,3,FALSE)),"",VLOOKUP(B30,$Z$53:$AB$64,3,FALSE)*-1)</f>
        <v/>
      </c>
      <c r="N30" s="122" t="str">
        <f t="shared" ref="N30" si="120">IF(ISERROR(VLOOKUP(B30,$Z$53:$AE$64,4,FALSE)),"",VLOOKUP(B30,$Z$53:$AE$64,4,FALSE)*-1)</f>
        <v/>
      </c>
      <c r="O30" s="152" t="str">
        <f t="shared" ref="O30" si="121">IF(ISERROR(VLOOKUP(B30,$Z$53:$AE$64,5,FALSE)),"",VLOOKUP(B30,$Z$53:$AE$64,5,FALSE)*-1)</f>
        <v/>
      </c>
      <c r="P30" s="67">
        <f t="shared" ref="P30" si="122">SUM(D30,H30,L30)</f>
        <v>0</v>
      </c>
      <c r="Q30" s="67">
        <f t="shared" ref="Q30" si="123">SUM(E30,I30,M30)</f>
        <v>0</v>
      </c>
      <c r="R30" s="46">
        <f t="shared" ref="R30" si="124">SUM(F30,J30,N30)</f>
        <v>0</v>
      </c>
      <c r="S30" s="130">
        <f t="shared" ref="S30" si="125">SUM(G30,K30,O30)</f>
        <v>0</v>
      </c>
      <c r="Y30">
        <v>30</v>
      </c>
      <c r="Z30">
        <v>2180</v>
      </c>
      <c r="AA30" s="35">
        <v>25960.000180146671</v>
      </c>
      <c r="AB30" s="35">
        <v>227253.31357700028</v>
      </c>
      <c r="AC30" s="15">
        <v>4.4000000305333336</v>
      </c>
      <c r="AD30" s="15">
        <v>4.4000000305333336</v>
      </c>
    </row>
    <row r="31" spans="1:30" x14ac:dyDescent="0.25">
      <c r="B31">
        <v>5730</v>
      </c>
      <c r="C31" s="78" t="str">
        <f>VLOOKUP(B31,Orgenheter!$A$3:$C$166,2,FALSE)</f>
        <v>Inst för MA och MA statistik</v>
      </c>
      <c r="D31" s="282">
        <f>IF(ISERROR(VLOOKUP(B31,$Z$3:$AB$20,2,FALSE)),"",VLOOKUP(B31,$Z$3:$AB$20,2,FALSE))</f>
        <v>2775.0000088800002</v>
      </c>
      <c r="E31" s="67">
        <f>IF(ISERROR(VLOOKUP(B31,$Z$3:$AB$20,3,FALSE)),"",VLOOKUP(B31,$Z$3:$AB$20,3,FALSE))</f>
        <v>6916.8750221340006</v>
      </c>
      <c r="F31" s="46">
        <f>IF(ISERROR(VLOOKUP(B31,$Z$3:$AE$20,4,FALSE)),"",VLOOKUP(B31,$Z$3:$AE$20,4,FALSE))</f>
        <v>0.12500000040000001</v>
      </c>
      <c r="G31" s="46">
        <f>IF(ISERROR(VLOOKUP(B31,$Z$3:$AE$20,5,FALSE)),"",VLOOKUP(B31,$Z$3:$AE$20,5,FALSE))</f>
        <v>0.12500000040000001</v>
      </c>
      <c r="H31" s="282" t="str">
        <f>IF(ISERROR(VLOOKUP(B31,$Z$28:$AB$47,2,FALSE)),"",VLOOKUP(B31,$Z$28:$AB$47,2,FALSE))</f>
        <v/>
      </c>
      <c r="I31" s="67" t="str">
        <f>IF(ISERROR(VLOOKUP(B31,$Z$28:$AB$47,3,FALSE)),"",VLOOKUP(B31,$Z$28:$AB$47,3,FALSE))</f>
        <v/>
      </c>
      <c r="J31" s="46" t="str">
        <f>IF(ISERROR(VLOOKUP(B31,$Z$28:$AE$47,4,FALSE)),"",VLOOKUP(B31,$Z$28:$AE$47,4,FALSE))</f>
        <v/>
      </c>
      <c r="K31" s="46" t="str">
        <f>IF(ISERROR(VLOOKUP(B31,$Z$28:$AE$47,5,FALSE)),"",VLOOKUP(B31,$Z$28:$AE$47,5,FALSE))</f>
        <v/>
      </c>
      <c r="L31" s="282" t="str">
        <f>IF(ISERROR(VLOOKUP(B31,$Z$53:$AB$64,2,FALSE)),"",VLOOKUP(B31,$Z$53:$AB$64,2,FALSE)*-1)</f>
        <v/>
      </c>
      <c r="M31" s="67" t="str">
        <f>IF(ISERROR(VLOOKUP(B31,$Z$53:$AB$64,3,FALSE)),"",VLOOKUP(B31,$Z$53:$AB$64,3,FALSE)*-1)</f>
        <v/>
      </c>
      <c r="N31" s="122" t="str">
        <f>IF(ISERROR(VLOOKUP(B31,$Z$53:$AE$64,4,FALSE)),"",VLOOKUP(B31,$Z$53:$AE$64,4,FALSE)*-1)</f>
        <v/>
      </c>
      <c r="O31" s="152" t="str">
        <f>IF(ISERROR(VLOOKUP(B31,$Z$53:$AE$64,5,FALSE)),"",VLOOKUP(B31,$Z$53:$AE$64,5,FALSE)*-1)</f>
        <v/>
      </c>
      <c r="P31" s="67">
        <f>SUM(D31,H31,L31)</f>
        <v>2775.0000088800002</v>
      </c>
      <c r="Q31" s="67">
        <f>SUM(E31,I31,M31)</f>
        <v>6916.8750221340006</v>
      </c>
      <c r="R31" s="46">
        <f>SUM(F31,J31,N31)</f>
        <v>0.12500000040000001</v>
      </c>
      <c r="S31" s="130">
        <f>SUM(G31,K31,O31)</f>
        <v>0.12500000040000001</v>
      </c>
      <c r="T31" s="35"/>
      <c r="Y31">
        <v>31</v>
      </c>
      <c r="Z31">
        <v>2193</v>
      </c>
      <c r="AA31" s="35">
        <v>25566.666906600003</v>
      </c>
      <c r="AB31" s="35">
        <v>223810.08210037154</v>
      </c>
      <c r="AC31" s="15">
        <v>4.3333333740000004</v>
      </c>
      <c r="AD31" s="15">
        <v>4.3333333740000004</v>
      </c>
    </row>
    <row r="32" spans="1:30" x14ac:dyDescent="0.25">
      <c r="A32" s="71"/>
      <c r="B32" s="18">
        <v>5740</v>
      </c>
      <c r="C32" s="78" t="str">
        <f>VLOOKUP(B32,Orgenheter!$A$3:$C$166,2,FALSE)</f>
        <v>NMD</v>
      </c>
      <c r="D32" s="282">
        <f>IF(ISERROR(VLOOKUP(B32,$Z$3:$AB$20,2,FALSE)),"",VLOOKUP(B32,$Z$3:$AB$20,2,FALSE))</f>
        <v>248250.00133826002</v>
      </c>
      <c r="E32" s="67">
        <f>IF(ISERROR(VLOOKUP(B32,$Z$3:$AB$20,3,FALSE)),"",VLOOKUP(B32,$Z$3:$AB$20,3,FALSE))</f>
        <v>1414962.0117058228</v>
      </c>
      <c r="F32" s="46">
        <f>IF(ISERROR(VLOOKUP(B32,$Z$3:$AE$20,4,FALSE)),"",VLOOKUP(B32,$Z$3:$AE$20,4,FALSE))</f>
        <v>25.500000210800003</v>
      </c>
      <c r="G32" s="46">
        <f>IF(ISERROR(VLOOKUP(B32,$Z$3:$AE$20,5,FALSE)),"",VLOOKUP(B32,$Z$3:$AE$20,5,FALSE))</f>
        <v>25.500000210800003</v>
      </c>
      <c r="H32" s="282">
        <f>IF(ISERROR(VLOOKUP(B32,$Z$28:$AB$47,2,FALSE)),"",VLOOKUP(B32,$Z$28:$AB$47,2,FALSE))</f>
        <v>0</v>
      </c>
      <c r="I32" s="67">
        <f>IF(ISERROR(VLOOKUP(B32,$Z$28:$AB$47,3,FALSE)),"",VLOOKUP(B32,$Z$28:$AB$47,3,FALSE))</f>
        <v>0</v>
      </c>
      <c r="J32" s="46">
        <f>IF(ISERROR(VLOOKUP(B32,$Z$28:$AE$47,4,FALSE)),"",VLOOKUP(B32,$Z$28:$AE$47,4,FALSE))</f>
        <v>0</v>
      </c>
      <c r="K32" s="46">
        <f>IF(ISERROR(VLOOKUP(B32,$Z$28:$AE$47,5,FALSE)),"",VLOOKUP(B32,$Z$28:$AE$47,5,FALSE))</f>
        <v>0</v>
      </c>
      <c r="L32" s="282">
        <f t="shared" ref="L32" si="126">IF(ISERROR(VLOOKUP(B32,$Z$53:$AB$64,2,FALSE)),"",VLOOKUP(B32,$Z$53:$AB$64,2,FALSE)*-1)</f>
        <v>-37366.667083600005</v>
      </c>
      <c r="M32" s="67">
        <f t="shared" ref="M32" si="127">IF(ISERROR(VLOOKUP(B32,$Z$53:$AB$64,3,FALSE)),"",VLOOKUP(B32,$Z$53:$AB$64,3,FALSE)*-1)</f>
        <v>-327107.04364982597</v>
      </c>
      <c r="N32" s="122">
        <f t="shared" ref="N32" si="128">IF(ISERROR(VLOOKUP(B32,$Z$53:$AE$64,4,FALSE)),"",VLOOKUP(B32,$Z$53:$AE$64,4,FALSE)*-1)</f>
        <v>-6.3333334040000002</v>
      </c>
      <c r="O32" s="152">
        <f t="shared" ref="O32" si="129">IF(ISERROR(VLOOKUP(B32,$Z$53:$AE$64,5,FALSE)),"",VLOOKUP(B32,$Z$53:$AE$64,5,FALSE)*-1)</f>
        <v>-6.3333334040000002</v>
      </c>
      <c r="P32" s="67">
        <f t="shared" ref="P32:S32" si="130">SUM(D32,H32,L32)</f>
        <v>210883.33425466</v>
      </c>
      <c r="Q32" s="67">
        <f t="shared" si="130"/>
        <v>1087854.9680559968</v>
      </c>
      <c r="R32" s="46">
        <f t="shared" si="130"/>
        <v>19.166666806800002</v>
      </c>
      <c r="S32" s="130">
        <f t="shared" si="130"/>
        <v>19.166666806800002</v>
      </c>
      <c r="T32" s="35"/>
      <c r="Y32">
        <v>32</v>
      </c>
      <c r="Z32">
        <v>2650</v>
      </c>
      <c r="AA32" s="35">
        <v>0</v>
      </c>
      <c r="AB32" s="35">
        <v>0</v>
      </c>
      <c r="AC32" s="15">
        <v>0</v>
      </c>
      <c r="AD32" s="15">
        <v>0</v>
      </c>
    </row>
    <row r="33" spans="1:30" ht="15.75" thickBot="1" x14ac:dyDescent="0.3">
      <c r="B33" s="18"/>
      <c r="C33" s="18"/>
      <c r="D33" s="198"/>
      <c r="E33" s="18"/>
      <c r="F33" s="46"/>
      <c r="G33" s="194"/>
      <c r="H33" s="149"/>
      <c r="I33" s="79"/>
      <c r="J33" s="79"/>
      <c r="K33" s="150"/>
      <c r="L33" s="193"/>
      <c r="M33" s="67"/>
      <c r="N33" s="122"/>
      <c r="O33" s="152"/>
      <c r="P33" s="79"/>
      <c r="Q33" s="79"/>
      <c r="R33" s="79"/>
      <c r="S33" s="101"/>
      <c r="T33" s="35"/>
      <c r="Y33">
        <v>33</v>
      </c>
      <c r="Z33">
        <v>3306</v>
      </c>
      <c r="AA33" s="35">
        <v>0</v>
      </c>
      <c r="AB33" s="35">
        <v>0</v>
      </c>
      <c r="AC33" s="15">
        <v>0</v>
      </c>
      <c r="AD33" s="15">
        <v>0</v>
      </c>
    </row>
    <row r="34" spans="1:30" ht="15.75" thickBot="1" x14ac:dyDescent="0.3">
      <c r="A34" s="137" t="s">
        <v>37</v>
      </c>
      <c r="B34" s="93"/>
      <c r="C34" s="286"/>
      <c r="D34" s="133">
        <f t="shared" ref="D34:S34" si="131">SUM(D27:D32)</f>
        <v>251025.00134714</v>
      </c>
      <c r="E34" s="134">
        <f t="shared" si="131"/>
        <v>1421878.8867279568</v>
      </c>
      <c r="F34" s="136">
        <f t="shared" si="131"/>
        <v>25.625000211200003</v>
      </c>
      <c r="G34" s="136">
        <f t="shared" si="131"/>
        <v>25.625000211200003</v>
      </c>
      <c r="H34" s="134">
        <f t="shared" si="131"/>
        <v>0</v>
      </c>
      <c r="I34" s="134">
        <f t="shared" si="131"/>
        <v>0</v>
      </c>
      <c r="J34" s="136">
        <f t="shared" si="131"/>
        <v>0</v>
      </c>
      <c r="K34" s="136">
        <f t="shared" si="131"/>
        <v>0</v>
      </c>
      <c r="L34" s="134">
        <f t="shared" si="131"/>
        <v>-37366.667083600005</v>
      </c>
      <c r="M34" s="134">
        <f t="shared" si="131"/>
        <v>-327107.04364982597</v>
      </c>
      <c r="N34" s="135">
        <f t="shared" si="131"/>
        <v>-6.3333334040000002</v>
      </c>
      <c r="O34" s="285">
        <f t="shared" si="131"/>
        <v>-6.3333334040000002</v>
      </c>
      <c r="P34" s="284">
        <f t="shared" si="131"/>
        <v>213658.33426353999</v>
      </c>
      <c r="Q34" s="138">
        <f t="shared" si="131"/>
        <v>1094771.8430781309</v>
      </c>
      <c r="R34" s="139">
        <f t="shared" si="131"/>
        <v>19.291666807200002</v>
      </c>
      <c r="S34" s="144">
        <f t="shared" si="131"/>
        <v>19.291666807200002</v>
      </c>
      <c r="T34" s="35"/>
      <c r="Y34">
        <v>34</v>
      </c>
      <c r="Z34">
        <v>3850</v>
      </c>
      <c r="AA34" s="35">
        <v>2933.3333567999998</v>
      </c>
      <c r="AB34" s="35">
        <v>6253.165050025319</v>
      </c>
      <c r="AC34" s="15">
        <v>8.3333333999999995E-2</v>
      </c>
      <c r="AD34" s="15">
        <v>8.3333333999999995E-2</v>
      </c>
    </row>
    <row r="35" spans="1:30" ht="15.75" thickBot="1" x14ac:dyDescent="0.3">
      <c r="O35" s="152"/>
      <c r="S35" s="72"/>
      <c r="T35" s="35"/>
      <c r="Y35">
        <v>35</v>
      </c>
      <c r="Z35">
        <v>5740</v>
      </c>
      <c r="AA35" s="35">
        <v>0</v>
      </c>
      <c r="AB35" s="35">
        <v>0</v>
      </c>
      <c r="AC35" s="15">
        <v>0</v>
      </c>
      <c r="AD35" s="15">
        <v>0</v>
      </c>
    </row>
    <row r="36" spans="1:30" ht="16.5" thickBot="1" x14ac:dyDescent="0.3">
      <c r="A36" s="155" t="s">
        <v>114</v>
      </c>
      <c r="B36" s="156"/>
      <c r="C36" s="156"/>
      <c r="D36" s="288">
        <f t="shared" ref="D36:S36" si="132">D9+D18+D24+D34</f>
        <v>1576475.0051950698</v>
      </c>
      <c r="E36" s="289">
        <f t="shared" si="132"/>
        <v>6121342.518065583</v>
      </c>
      <c r="F36" s="290">
        <f t="shared" si="132"/>
        <v>108.2500003279</v>
      </c>
      <c r="G36" s="291">
        <f t="shared" si="132"/>
        <v>108.2500003279</v>
      </c>
      <c r="H36" s="288">
        <f t="shared" si="132"/>
        <v>54755.000443546676</v>
      </c>
      <c r="I36" s="289">
        <f t="shared" si="132"/>
        <v>458952.05872739718</v>
      </c>
      <c r="J36" s="290">
        <f t="shared" si="132"/>
        <v>8.8666667385333344</v>
      </c>
      <c r="K36" s="291">
        <f t="shared" si="132"/>
        <v>8.8666667385333344</v>
      </c>
      <c r="L36" s="288">
        <f t="shared" si="132"/>
        <v>-54755.000443546669</v>
      </c>
      <c r="M36" s="289">
        <f t="shared" si="132"/>
        <v>-458952.05872739712</v>
      </c>
      <c r="N36" s="290">
        <f t="shared" si="132"/>
        <v>-8.8666667385333326</v>
      </c>
      <c r="O36" s="291">
        <f t="shared" si="132"/>
        <v>-8.8666667385333326</v>
      </c>
      <c r="P36" s="288">
        <f t="shared" si="132"/>
        <v>1576475.0051950701</v>
      </c>
      <c r="Q36" s="289">
        <f t="shared" si="132"/>
        <v>6121342.5180655839</v>
      </c>
      <c r="R36" s="290">
        <f t="shared" si="132"/>
        <v>108.25000032790001</v>
      </c>
      <c r="S36" s="291">
        <f t="shared" si="132"/>
        <v>108.25000032790001</v>
      </c>
      <c r="T36" s="35"/>
      <c r="Y36">
        <v>36</v>
      </c>
      <c r="Z36" t="s">
        <v>436</v>
      </c>
      <c r="AA36" s="35">
        <v>54755.000443546676</v>
      </c>
      <c r="AB36" s="35">
        <v>458952.05872739712</v>
      </c>
      <c r="AC36" s="15">
        <v>8.8666667385333344</v>
      </c>
      <c r="AD36" s="15">
        <v>8.8666667385333344</v>
      </c>
    </row>
    <row r="37" spans="1:30" x14ac:dyDescent="0.25">
      <c r="Y37">
        <v>37</v>
      </c>
    </row>
    <row r="38" spans="1:30" x14ac:dyDescent="0.25">
      <c r="Y38">
        <v>38</v>
      </c>
    </row>
    <row r="39" spans="1:30" x14ac:dyDescent="0.25">
      <c r="Y39">
        <v>39</v>
      </c>
    </row>
    <row r="40" spans="1:30" x14ac:dyDescent="0.25">
      <c r="Y40">
        <v>40</v>
      </c>
    </row>
    <row r="41" spans="1:30" x14ac:dyDescent="0.25">
      <c r="Y41">
        <v>41</v>
      </c>
    </row>
    <row r="42" spans="1:30" x14ac:dyDescent="0.25">
      <c r="Y42">
        <v>42</v>
      </c>
    </row>
    <row r="43" spans="1:30" x14ac:dyDescent="0.25">
      <c r="Y43">
        <v>43</v>
      </c>
    </row>
    <row r="44" spans="1:30" ht="15" customHeight="1" x14ac:dyDescent="0.25">
      <c r="Y44">
        <v>44</v>
      </c>
    </row>
    <row r="45" spans="1:30" x14ac:dyDescent="0.25">
      <c r="F45"/>
      <c r="O45" s="192"/>
      <c r="P45" s="191"/>
      <c r="Q45" s="162"/>
      <c r="R45" s="162"/>
      <c r="Y45">
        <v>45</v>
      </c>
    </row>
    <row r="46" spans="1:30" x14ac:dyDescent="0.25">
      <c r="F46"/>
      <c r="O46" s="167"/>
      <c r="P46" s="190"/>
      <c r="Q46" s="190"/>
      <c r="R46" s="162"/>
      <c r="Y46">
        <v>46</v>
      </c>
    </row>
    <row r="47" spans="1:30" x14ac:dyDescent="0.25">
      <c r="F47" s="35"/>
      <c r="O47" s="167"/>
      <c r="P47" s="167"/>
      <c r="Q47" s="191"/>
      <c r="R47" s="162"/>
      <c r="Y47">
        <v>47</v>
      </c>
    </row>
    <row r="48" spans="1:30" x14ac:dyDescent="0.25">
      <c r="F48" s="35"/>
      <c r="O48" s="167"/>
      <c r="P48" s="245"/>
      <c r="Q48" s="162"/>
      <c r="R48" s="162"/>
      <c r="Y48">
        <v>48</v>
      </c>
    </row>
    <row r="49" spans="4:30" x14ac:dyDescent="0.25">
      <c r="P49" s="27"/>
      <c r="Y49">
        <v>49</v>
      </c>
    </row>
    <row r="50" spans="4:30" x14ac:dyDescent="0.25">
      <c r="P50" s="15"/>
      <c r="Y50">
        <v>50</v>
      </c>
    </row>
    <row r="51" spans="4:30" x14ac:dyDescent="0.25">
      <c r="Y51">
        <v>51</v>
      </c>
      <c r="AA51" s="60" t="s">
        <v>314</v>
      </c>
    </row>
    <row r="52" spans="4:30" x14ac:dyDescent="0.25">
      <c r="D52" s="15"/>
      <c r="E52" s="15"/>
      <c r="Y52">
        <v>52</v>
      </c>
      <c r="Z52" s="60" t="s">
        <v>281</v>
      </c>
      <c r="AA52" t="s">
        <v>480</v>
      </c>
      <c r="AB52" t="s">
        <v>363</v>
      </c>
      <c r="AC52" t="s">
        <v>354</v>
      </c>
      <c r="AD52" t="s">
        <v>356</v>
      </c>
    </row>
    <row r="53" spans="4:30" x14ac:dyDescent="0.25">
      <c r="Y53">
        <v>53</v>
      </c>
      <c r="Z53">
        <v>1620</v>
      </c>
      <c r="AA53" s="35">
        <v>0</v>
      </c>
      <c r="AB53" s="35">
        <v>0</v>
      </c>
      <c r="AC53" s="15">
        <v>0</v>
      </c>
      <c r="AD53" s="15">
        <v>0</v>
      </c>
    </row>
    <row r="54" spans="4:30" x14ac:dyDescent="0.25">
      <c r="E54" s="15"/>
      <c r="Y54">
        <v>54</v>
      </c>
      <c r="Z54">
        <v>1630</v>
      </c>
      <c r="AA54" s="35">
        <v>0</v>
      </c>
      <c r="AB54" s="35">
        <v>0</v>
      </c>
      <c r="AC54" s="15">
        <v>0</v>
      </c>
      <c r="AD54" s="15">
        <v>0</v>
      </c>
    </row>
    <row r="55" spans="4:30" x14ac:dyDescent="0.25">
      <c r="Y55">
        <v>55</v>
      </c>
      <c r="Z55">
        <v>2180</v>
      </c>
      <c r="AA55" s="35">
        <v>9816.6667215999987</v>
      </c>
      <c r="AB55" s="35">
        <v>66509.725325483872</v>
      </c>
      <c r="AC55" s="15">
        <v>1.2500000059999998</v>
      </c>
      <c r="AD55" s="15">
        <v>1.2500000059999998</v>
      </c>
    </row>
    <row r="56" spans="4:30" x14ac:dyDescent="0.25">
      <c r="Y56">
        <v>56</v>
      </c>
      <c r="Z56">
        <v>2193</v>
      </c>
      <c r="AA56" s="35">
        <v>7571.6666383466672</v>
      </c>
      <c r="AB56" s="35">
        <v>65335.289752087308</v>
      </c>
      <c r="AC56" s="15">
        <v>1.2833333285333335</v>
      </c>
      <c r="AD56" s="15">
        <v>1.2833333285333335</v>
      </c>
    </row>
    <row r="57" spans="4:30" x14ac:dyDescent="0.25">
      <c r="Y57">
        <v>57</v>
      </c>
      <c r="Z57">
        <v>5740</v>
      </c>
      <c r="AA57" s="35">
        <v>37366.667083600005</v>
      </c>
      <c r="AB57" s="35">
        <v>327107.04364982597</v>
      </c>
      <c r="AC57" s="15">
        <v>6.3333334040000002</v>
      </c>
      <c r="AD57" s="15">
        <v>6.3333334040000002</v>
      </c>
    </row>
    <row r="58" spans="4:30" x14ac:dyDescent="0.25">
      <c r="Y58">
        <v>58</v>
      </c>
      <c r="Z58" t="s">
        <v>436</v>
      </c>
      <c r="AA58" s="35">
        <v>54755.000443546669</v>
      </c>
      <c r="AB58" s="35">
        <v>458952.05872739712</v>
      </c>
      <c r="AC58" s="15">
        <v>8.8666667385333326</v>
      </c>
      <c r="AD58" s="15">
        <v>8.8666667385333326</v>
      </c>
    </row>
    <row r="59" spans="4:30" x14ac:dyDescent="0.25">
      <c r="Y59">
        <v>59</v>
      </c>
    </row>
    <row r="60" spans="4:30" x14ac:dyDescent="0.25">
      <c r="Y60">
        <v>60</v>
      </c>
    </row>
    <row r="61" spans="4:30" x14ac:dyDescent="0.25">
      <c r="Y61">
        <v>61</v>
      </c>
    </row>
    <row r="62" spans="4:30" x14ac:dyDescent="0.25">
      <c r="Y62">
        <v>62</v>
      </c>
    </row>
    <row r="63" spans="4:30" x14ac:dyDescent="0.25">
      <c r="Y63">
        <v>63</v>
      </c>
    </row>
    <row r="64" spans="4:30" x14ac:dyDescent="0.25">
      <c r="Y64">
        <v>64</v>
      </c>
    </row>
    <row r="65" spans="25:25" x14ac:dyDescent="0.25">
      <c r="Y65">
        <v>65</v>
      </c>
    </row>
    <row r="66" spans="25:25" x14ac:dyDescent="0.25">
      <c r="Y66">
        <v>66</v>
      </c>
    </row>
    <row r="67" spans="25:25" x14ac:dyDescent="0.25">
      <c r="Y67">
        <v>67</v>
      </c>
    </row>
    <row r="68" spans="25:25" x14ac:dyDescent="0.25">
      <c r="Y68">
        <v>68</v>
      </c>
    </row>
    <row r="69" spans="25:25" x14ac:dyDescent="0.25">
      <c r="Y69">
        <v>69</v>
      </c>
    </row>
    <row r="70" spans="25:25" x14ac:dyDescent="0.25">
      <c r="Y70">
        <v>70</v>
      </c>
    </row>
    <row r="71" spans="25:25" x14ac:dyDescent="0.25">
      <c r="Y71">
        <v>71</v>
      </c>
    </row>
    <row r="72" spans="25:25" x14ac:dyDescent="0.25">
      <c r="Y72">
        <v>72</v>
      </c>
    </row>
    <row r="73" spans="25:25" x14ac:dyDescent="0.25">
      <c r="Y73">
        <v>73</v>
      </c>
    </row>
    <row r="74" spans="25:25" x14ac:dyDescent="0.25">
      <c r="Y74">
        <v>74</v>
      </c>
    </row>
    <row r="75" spans="25:25" x14ac:dyDescent="0.25">
      <c r="Y75">
        <v>75</v>
      </c>
    </row>
    <row r="76" spans="25:25" x14ac:dyDescent="0.25">
      <c r="Y76">
        <v>76</v>
      </c>
    </row>
    <row r="77" spans="25:25" x14ac:dyDescent="0.25">
      <c r="Y77">
        <v>77</v>
      </c>
    </row>
    <row r="78" spans="25:25" x14ac:dyDescent="0.25">
      <c r="Y78">
        <v>78</v>
      </c>
    </row>
    <row r="79" spans="25:25" x14ac:dyDescent="0.25">
      <c r="Y79">
        <v>79</v>
      </c>
    </row>
    <row r="80" spans="25:25" x14ac:dyDescent="0.25">
      <c r="Y80">
        <v>80</v>
      </c>
    </row>
    <row r="81" spans="25:25" x14ac:dyDescent="0.25">
      <c r="Y81">
        <v>81</v>
      </c>
    </row>
    <row r="82" spans="25:25" x14ac:dyDescent="0.25">
      <c r="Y82">
        <v>82</v>
      </c>
    </row>
    <row r="83" spans="25:25" x14ac:dyDescent="0.25">
      <c r="Y83">
        <v>83</v>
      </c>
    </row>
    <row r="84" spans="25:25" x14ac:dyDescent="0.25">
      <c r="Y84">
        <v>84</v>
      </c>
    </row>
    <row r="85" spans="25:25" x14ac:dyDescent="0.25">
      <c r="Y85">
        <v>85</v>
      </c>
    </row>
    <row r="86" spans="25:25" x14ac:dyDescent="0.25">
      <c r="Y86">
        <v>86</v>
      </c>
    </row>
    <row r="87" spans="25:25" x14ac:dyDescent="0.25">
      <c r="Y87">
        <v>87</v>
      </c>
    </row>
    <row r="88" spans="25:25" x14ac:dyDescent="0.25">
      <c r="Y88">
        <v>88</v>
      </c>
    </row>
    <row r="89" spans="25:25" x14ac:dyDescent="0.25">
      <c r="Y89">
        <v>89</v>
      </c>
    </row>
  </sheetData>
  <sheetProtection sheet="1" objects="1" scenarios="1"/>
  <pageMargins left="0.35433070866141736" right="0.35433070866141736" top="0.98425196850393704" bottom="0.98425196850393704" header="0.51181102362204722" footer="0.51181102362204722"/>
  <pageSetup paperSize="9" scale="60" orientation="landscape" r:id="rId4"/>
  <headerFooter alignWithMargins="0">
    <oddHeader>&amp;C&amp;12VAL-projektet 2019</oddHead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7"/>
  <sheetViews>
    <sheetView view="pageLayout" topLeftCell="A4" zoomScaleNormal="100" workbookViewId="0">
      <selection activeCell="M5" sqref="M5"/>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4.42578125" customWidth="1"/>
    <col min="12" max="12" width="19"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38" t="s">
        <v>276</v>
      </c>
      <c r="L1" s="354" t="s">
        <v>331</v>
      </c>
      <c r="M1" s="354"/>
      <c r="N1" s="355"/>
      <c r="O1" s="18"/>
      <c r="P1" s="18"/>
      <c r="Q1" s="18"/>
    </row>
    <row r="2" spans="1:26" ht="27.75" customHeight="1" x14ac:dyDescent="0.3">
      <c r="C2" s="163" t="s">
        <v>900</v>
      </c>
      <c r="D2" s="204"/>
      <c r="L2" s="354" t="s">
        <v>332</v>
      </c>
      <c r="M2" s="354"/>
      <c r="N2" s="355"/>
      <c r="O2" s="18"/>
      <c r="P2" s="18"/>
      <c r="Q2" s="18"/>
    </row>
    <row r="3" spans="1:26" ht="27.75" customHeight="1" x14ac:dyDescent="0.25">
      <c r="A3" s="18"/>
      <c r="B3" s="18"/>
      <c r="O3" s="426"/>
      <c r="P3" s="427"/>
      <c r="Q3" s="427"/>
      <c r="R3" s="427"/>
      <c r="S3" s="427"/>
      <c r="T3" s="427"/>
    </row>
    <row r="4" spans="1:26" ht="51.75" customHeight="1" x14ac:dyDescent="0.25">
      <c r="A4" s="28" t="s">
        <v>64</v>
      </c>
      <c r="B4" s="28" t="s">
        <v>466</v>
      </c>
      <c r="C4" s="28" t="s">
        <v>33</v>
      </c>
      <c r="D4" s="165" t="s">
        <v>893</v>
      </c>
      <c r="E4" s="165" t="s">
        <v>894</v>
      </c>
      <c r="G4" s="164" t="s">
        <v>334</v>
      </c>
      <c r="H4" s="164" t="s">
        <v>335</v>
      </c>
      <c r="I4" s="164"/>
      <c r="J4" s="164" t="s">
        <v>336</v>
      </c>
      <c r="K4" s="343" t="s">
        <v>895</v>
      </c>
      <c r="L4" s="342" t="s">
        <v>901</v>
      </c>
      <c r="M4" s="164" t="s">
        <v>338</v>
      </c>
      <c r="N4" s="164" t="s">
        <v>337</v>
      </c>
      <c r="O4" s="244"/>
      <c r="P4" s="252"/>
      <c r="Q4" s="252"/>
      <c r="T4" s="61" t="s">
        <v>896</v>
      </c>
      <c r="Y4" s="428" t="s">
        <v>823</v>
      </c>
      <c r="Z4" s="428"/>
    </row>
    <row r="5" spans="1:26" ht="22.5" customHeight="1" x14ac:dyDescent="0.25">
      <c r="O5" s="18"/>
      <c r="P5" s="18"/>
      <c r="Q5" s="18"/>
      <c r="T5">
        <v>2020</v>
      </c>
      <c r="U5" t="s">
        <v>298</v>
      </c>
      <c r="V5" t="s">
        <v>106</v>
      </c>
      <c r="Y5" s="373" t="s">
        <v>358</v>
      </c>
      <c r="Z5" s="373" t="s">
        <v>357</v>
      </c>
    </row>
    <row r="6" spans="1:26" ht="22.5" customHeight="1" x14ac:dyDescent="0.25">
      <c r="A6" s="207" t="s">
        <v>321</v>
      </c>
      <c r="B6" s="207">
        <v>1620</v>
      </c>
      <c r="C6" s="208" t="s">
        <v>131</v>
      </c>
      <c r="D6" s="209">
        <f>U6</f>
        <v>413901.09375</v>
      </c>
      <c r="E6" s="209">
        <f>V6</f>
        <v>69834.375</v>
      </c>
      <c r="F6" s="210"/>
      <c r="G6" s="210">
        <v>3094</v>
      </c>
      <c r="H6" s="210">
        <v>162000100</v>
      </c>
      <c r="I6" s="210"/>
      <c r="J6" s="210">
        <v>11</v>
      </c>
      <c r="K6" s="27"/>
      <c r="L6" s="209">
        <f>(D6+E6-K6)/12*2</f>
        <v>80622.578125</v>
      </c>
      <c r="M6" s="210" t="s">
        <v>467</v>
      </c>
      <c r="N6" s="210" t="s">
        <v>565</v>
      </c>
      <c r="O6" s="122"/>
      <c r="P6" s="122"/>
      <c r="Q6" s="122"/>
      <c r="R6" s="27"/>
      <c r="S6" s="61">
        <v>1620</v>
      </c>
      <c r="T6" s="78" t="s">
        <v>131</v>
      </c>
      <c r="U6" s="46">
        <v>413901.09375</v>
      </c>
      <c r="V6" s="46">
        <v>69834.375</v>
      </c>
      <c r="X6" s="46"/>
      <c r="Y6" s="377">
        <v>69834.375</v>
      </c>
      <c r="Z6" s="377">
        <v>413901.09375</v>
      </c>
    </row>
    <row r="7" spans="1:26" ht="22.5" customHeight="1" x14ac:dyDescent="0.25">
      <c r="A7" s="210"/>
      <c r="B7" s="210"/>
      <c r="C7" s="207"/>
      <c r="D7" s="210"/>
      <c r="E7" s="210"/>
      <c r="F7" s="210"/>
      <c r="G7" s="210">
        <v>3094</v>
      </c>
      <c r="H7" s="210">
        <v>600011235</v>
      </c>
      <c r="I7" s="210"/>
      <c r="J7" s="210">
        <v>11</v>
      </c>
      <c r="K7" s="27"/>
      <c r="L7" s="209">
        <f>L6</f>
        <v>80622.578125</v>
      </c>
      <c r="M7" s="210" t="s">
        <v>468</v>
      </c>
      <c r="N7" s="210" t="s">
        <v>565</v>
      </c>
      <c r="O7" s="122"/>
      <c r="P7" s="122"/>
      <c r="Q7" s="122"/>
      <c r="R7" s="27"/>
      <c r="S7" s="18">
        <v>1630</v>
      </c>
      <c r="T7" s="78" t="s">
        <v>127</v>
      </c>
      <c r="U7" s="46">
        <v>26379</v>
      </c>
      <c r="V7" s="46">
        <v>4425</v>
      </c>
      <c r="X7" s="46"/>
      <c r="Y7" s="377">
        <v>4425</v>
      </c>
      <c r="Z7" s="377">
        <v>26379</v>
      </c>
    </row>
    <row r="8" spans="1:26" ht="22.5" customHeight="1" x14ac:dyDescent="0.25">
      <c r="A8" s="210"/>
      <c r="B8" s="210">
        <v>1630</v>
      </c>
      <c r="C8" s="208" t="s">
        <v>127</v>
      </c>
      <c r="D8" s="209">
        <f>U7</f>
        <v>26379</v>
      </c>
      <c r="E8" s="209">
        <f>V7</f>
        <v>4425</v>
      </c>
      <c r="F8" s="210"/>
      <c r="G8" s="210">
        <v>3094</v>
      </c>
      <c r="H8" s="210">
        <v>163000100</v>
      </c>
      <c r="I8" s="210"/>
      <c r="J8" s="210">
        <v>11</v>
      </c>
      <c r="K8" s="27"/>
      <c r="L8" s="209">
        <f>(D8+E8-K8)/12*2</f>
        <v>5134</v>
      </c>
      <c r="M8" s="210" t="s">
        <v>467</v>
      </c>
      <c r="N8" s="210" t="s">
        <v>565</v>
      </c>
      <c r="O8" s="122"/>
      <c r="P8" s="122"/>
      <c r="Q8" s="182"/>
      <c r="R8" s="27"/>
      <c r="S8" s="18">
        <v>1640</v>
      </c>
      <c r="T8" s="78" t="s">
        <v>128</v>
      </c>
      <c r="U8" s="46">
        <v>0</v>
      </c>
      <c r="V8" s="46">
        <v>0</v>
      </c>
      <c r="X8" s="46"/>
      <c r="Y8" s="377">
        <v>0</v>
      </c>
      <c r="Z8" s="377">
        <v>0</v>
      </c>
    </row>
    <row r="9" spans="1:26" ht="22.5" customHeight="1" x14ac:dyDescent="0.25">
      <c r="A9" s="210"/>
      <c r="B9" s="210"/>
      <c r="C9" s="207"/>
      <c r="D9" s="210"/>
      <c r="E9" s="210"/>
      <c r="F9" s="210"/>
      <c r="G9" s="210">
        <v>3094</v>
      </c>
      <c r="H9" s="210">
        <v>600011235</v>
      </c>
      <c r="I9" s="210"/>
      <c r="J9" s="210">
        <v>11</v>
      </c>
      <c r="K9" s="27"/>
      <c r="L9" s="209">
        <f>L8</f>
        <v>5134</v>
      </c>
      <c r="M9" s="210" t="s">
        <v>468</v>
      </c>
      <c r="N9" s="210" t="s">
        <v>565</v>
      </c>
      <c r="O9" s="122"/>
      <c r="P9" s="122"/>
      <c r="Q9" s="182"/>
      <c r="R9" s="27"/>
      <c r="S9" s="162">
        <v>1650</v>
      </c>
      <c r="T9" s="293" t="s">
        <v>9</v>
      </c>
      <c r="U9" s="46">
        <v>1992159.2479999999</v>
      </c>
      <c r="V9" s="46">
        <v>927182.5</v>
      </c>
      <c r="X9" s="46"/>
      <c r="Y9" s="377">
        <v>927182.5</v>
      </c>
      <c r="Z9" s="377">
        <v>1992159.2479999999</v>
      </c>
    </row>
    <row r="10" spans="1:26" ht="22.5" customHeight="1" x14ac:dyDescent="0.25">
      <c r="A10" s="210"/>
      <c r="B10" s="210">
        <v>1640</v>
      </c>
      <c r="C10" s="211" t="s">
        <v>128</v>
      </c>
      <c r="D10" s="209">
        <f>U8</f>
        <v>0</v>
      </c>
      <c r="E10" s="209">
        <f>V8</f>
        <v>0</v>
      </c>
      <c r="F10" s="210"/>
      <c r="G10" s="210">
        <v>3094</v>
      </c>
      <c r="H10" s="210">
        <v>164016100</v>
      </c>
      <c r="I10" s="210"/>
      <c r="J10" s="210">
        <v>11</v>
      </c>
      <c r="K10" s="27"/>
      <c r="L10" s="209">
        <f>(D10+E10-K10)/12*2</f>
        <v>0</v>
      </c>
      <c r="M10" s="210" t="s">
        <v>467</v>
      </c>
      <c r="N10" s="210" t="s">
        <v>565</v>
      </c>
      <c r="O10" s="122"/>
      <c r="P10" s="122"/>
      <c r="Q10" s="182"/>
      <c r="R10" s="27"/>
      <c r="T10" s="38"/>
      <c r="X10" s="46"/>
      <c r="Y10" s="46"/>
    </row>
    <row r="11" spans="1:26" ht="22.5" customHeight="1" x14ac:dyDescent="0.25">
      <c r="A11" s="210"/>
      <c r="B11" s="210"/>
      <c r="C11" s="207"/>
      <c r="D11" s="210"/>
      <c r="E11" s="210"/>
      <c r="F11" s="210"/>
      <c r="G11" s="210">
        <v>3094</v>
      </c>
      <c r="H11" s="210">
        <v>600011235</v>
      </c>
      <c r="I11" s="210"/>
      <c r="J11" s="210">
        <v>11</v>
      </c>
      <c r="K11" s="27"/>
      <c r="L11" s="209">
        <f>L10</f>
        <v>0</v>
      </c>
      <c r="M11" s="210" t="s">
        <v>468</v>
      </c>
      <c r="N11" s="210" t="s">
        <v>565</v>
      </c>
      <c r="O11" s="122"/>
      <c r="P11" s="122"/>
      <c r="Q11" s="182"/>
      <c r="R11" s="27"/>
      <c r="X11" s="46"/>
      <c r="Y11" s="46"/>
    </row>
    <row r="12" spans="1:26" ht="22.5" customHeight="1" x14ac:dyDescent="0.25">
      <c r="A12" s="210"/>
      <c r="B12" s="214">
        <v>1650</v>
      </c>
      <c r="C12" s="211" t="s">
        <v>9</v>
      </c>
      <c r="D12" s="215">
        <f>U9+U10</f>
        <v>1992159.2479999999</v>
      </c>
      <c r="E12" s="215">
        <f>V9+V10</f>
        <v>927182.5</v>
      </c>
      <c r="F12" s="214"/>
      <c r="G12" s="214">
        <v>3094</v>
      </c>
      <c r="H12" s="214">
        <v>165000001</v>
      </c>
      <c r="I12" s="214"/>
      <c r="J12" s="214">
        <v>11</v>
      </c>
      <c r="K12" s="27"/>
      <c r="L12" s="209">
        <f>(D12+E12-K12)/12*2</f>
        <v>486556.95799999993</v>
      </c>
      <c r="M12" s="214" t="s">
        <v>467</v>
      </c>
      <c r="N12" s="210" t="s">
        <v>565</v>
      </c>
      <c r="O12" s="122"/>
      <c r="P12" s="122"/>
      <c r="Q12" s="182"/>
      <c r="R12" s="27"/>
      <c r="X12" s="46"/>
      <c r="Y12" s="46"/>
    </row>
    <row r="13" spans="1:26" ht="22.5" customHeight="1" x14ac:dyDescent="0.25">
      <c r="A13" s="210"/>
      <c r="B13" s="214"/>
      <c r="C13" s="211"/>
      <c r="D13" s="214"/>
      <c r="E13" s="214"/>
      <c r="F13" s="214"/>
      <c r="G13" s="214">
        <v>3094</v>
      </c>
      <c r="H13" s="210">
        <v>600011235</v>
      </c>
      <c r="I13" s="214"/>
      <c r="J13" s="214">
        <v>11</v>
      </c>
      <c r="K13" s="27"/>
      <c r="L13" s="215">
        <f>L12</f>
        <v>486556.95799999993</v>
      </c>
      <c r="M13" s="214" t="s">
        <v>468</v>
      </c>
      <c r="N13" s="210" t="s">
        <v>565</v>
      </c>
      <c r="O13" s="122"/>
      <c r="P13" s="122"/>
      <c r="Q13" s="182"/>
      <c r="R13" s="27"/>
    </row>
    <row r="14" spans="1:26" ht="22.5" customHeight="1" x14ac:dyDescent="0.25">
      <c r="A14" s="356"/>
      <c r="B14" s="356"/>
      <c r="C14" s="356"/>
      <c r="D14" s="356"/>
      <c r="E14" s="356"/>
      <c r="F14" s="356"/>
      <c r="G14" s="356"/>
      <c r="H14" s="356"/>
      <c r="I14" s="356"/>
      <c r="J14" s="356"/>
      <c r="K14" s="357"/>
      <c r="L14" s="358"/>
      <c r="M14" s="356"/>
      <c r="N14" s="356"/>
      <c r="O14" s="122"/>
      <c r="P14" s="122"/>
      <c r="Q14" s="182"/>
      <c r="R14" s="27"/>
    </row>
    <row r="15" spans="1:26" ht="22.5" customHeight="1" x14ac:dyDescent="0.25">
      <c r="A15" s="207"/>
      <c r="K15" s="27"/>
      <c r="O15" s="122"/>
      <c r="P15" s="122"/>
      <c r="Q15" s="182"/>
      <c r="R15" s="27"/>
      <c r="T15">
        <v>2020</v>
      </c>
      <c r="U15" t="s">
        <v>298</v>
      </c>
      <c r="V15" t="s">
        <v>106</v>
      </c>
      <c r="X15" s="46"/>
      <c r="Y15" s="376" t="s">
        <v>358</v>
      </c>
      <c r="Z15" s="376" t="s">
        <v>357</v>
      </c>
    </row>
    <row r="16" spans="1:26" ht="22.5" customHeight="1" x14ac:dyDescent="0.25">
      <c r="A16" s="210" t="s">
        <v>322</v>
      </c>
      <c r="B16" s="210">
        <v>2180</v>
      </c>
      <c r="C16" s="208" t="s">
        <v>147</v>
      </c>
      <c r="D16" s="209">
        <f>U16</f>
        <v>923054.58699999994</v>
      </c>
      <c r="E16" s="212">
        <f>V16</f>
        <v>110443.33333333333</v>
      </c>
      <c r="F16" s="210"/>
      <c r="G16" s="210">
        <v>3094</v>
      </c>
      <c r="H16" s="214">
        <v>218000101</v>
      </c>
      <c r="I16" s="210"/>
      <c r="J16" s="210">
        <v>11</v>
      </c>
      <c r="K16" s="27"/>
      <c r="L16" s="209">
        <f>(D16-K16)/12*2</f>
        <v>153842.43116666665</v>
      </c>
      <c r="M16" s="210" t="s">
        <v>467</v>
      </c>
      <c r="N16" s="210" t="s">
        <v>566</v>
      </c>
      <c r="O16" s="122"/>
      <c r="P16" s="122"/>
      <c r="Q16" s="182"/>
      <c r="R16" s="27"/>
      <c r="S16" s="18">
        <v>2180</v>
      </c>
      <c r="T16" s="78" t="s">
        <v>147</v>
      </c>
      <c r="U16" s="46">
        <v>923054.58699999994</v>
      </c>
      <c r="V16" s="46">
        <v>110443.33333333333</v>
      </c>
      <c r="X16" s="46"/>
      <c r="Y16" s="378">
        <v>110443.33333333333</v>
      </c>
      <c r="Z16" s="378">
        <v>923054.58699999994</v>
      </c>
    </row>
    <row r="17" spans="1:26" ht="22.5" customHeight="1" x14ac:dyDescent="0.25">
      <c r="B17" s="210"/>
      <c r="C17" s="211"/>
      <c r="D17" s="209"/>
      <c r="E17" s="212"/>
      <c r="F17" s="210"/>
      <c r="G17" s="210">
        <v>3094</v>
      </c>
      <c r="H17" s="210">
        <v>600011235</v>
      </c>
      <c r="I17" s="210"/>
      <c r="J17" s="210">
        <v>11</v>
      </c>
      <c r="K17" s="27"/>
      <c r="L17" s="209">
        <f>L16</f>
        <v>153842.43116666665</v>
      </c>
      <c r="M17" s="210" t="s">
        <v>468</v>
      </c>
      <c r="N17" s="210" t="s">
        <v>566</v>
      </c>
      <c r="O17" s="122"/>
      <c r="P17" s="122"/>
      <c r="Q17" s="38"/>
      <c r="R17" s="27"/>
      <c r="S17" s="18">
        <v>2193</v>
      </c>
      <c r="T17" s="78" t="s">
        <v>499</v>
      </c>
      <c r="U17" s="46">
        <v>1565886.4140000001</v>
      </c>
      <c r="V17" s="46">
        <v>168248.33333333331</v>
      </c>
      <c r="X17" s="46"/>
      <c r="Y17" s="378">
        <v>168248.33333333331</v>
      </c>
      <c r="Z17" s="378">
        <v>1565886.4140000001</v>
      </c>
    </row>
    <row r="18" spans="1:26" ht="22.5" customHeight="1" x14ac:dyDescent="0.25">
      <c r="B18" s="210">
        <v>2193</v>
      </c>
      <c r="C18" s="208" t="s">
        <v>347</v>
      </c>
      <c r="D18" s="209">
        <f>U17</f>
        <v>1565886.4140000001</v>
      </c>
      <c r="E18" s="212">
        <f>V17</f>
        <v>168248.33333333331</v>
      </c>
      <c r="F18" s="210"/>
      <c r="G18" s="210">
        <v>3094</v>
      </c>
      <c r="H18" s="210">
        <v>219300001</v>
      </c>
      <c r="I18" s="210"/>
      <c r="J18" s="210">
        <v>11</v>
      </c>
      <c r="K18" s="27"/>
      <c r="L18" s="209">
        <f>(D18-K18)/12*2</f>
        <v>260981.06900000002</v>
      </c>
      <c r="M18" s="210" t="s">
        <v>467</v>
      </c>
      <c r="N18" s="210" t="s">
        <v>566</v>
      </c>
      <c r="O18" s="122"/>
      <c r="P18" s="122"/>
      <c r="Q18" s="182"/>
      <c r="R18" s="27"/>
      <c r="S18">
        <v>2200</v>
      </c>
      <c r="T18" s="78" t="s">
        <v>898</v>
      </c>
      <c r="U18" s="15">
        <v>19175.212499999998</v>
      </c>
      <c r="V18">
        <v>2950</v>
      </c>
      <c r="Y18" s="373">
        <v>2950</v>
      </c>
      <c r="Z18" s="374">
        <v>19175.212499999998</v>
      </c>
    </row>
    <row r="19" spans="1:26" ht="22.5" customHeight="1" x14ac:dyDescent="0.25">
      <c r="B19" s="210"/>
      <c r="C19" s="207"/>
      <c r="D19" s="210"/>
      <c r="E19" s="213"/>
      <c r="F19" s="210"/>
      <c r="G19" s="210">
        <v>3094</v>
      </c>
      <c r="H19" s="210">
        <v>600011235</v>
      </c>
      <c r="I19" s="210"/>
      <c r="J19" s="210">
        <v>11</v>
      </c>
      <c r="K19" s="27"/>
      <c r="L19" s="209">
        <f>L18</f>
        <v>260981.06900000002</v>
      </c>
      <c r="M19" s="210" t="s">
        <v>468</v>
      </c>
      <c r="N19" s="210" t="s">
        <v>566</v>
      </c>
      <c r="O19" s="122"/>
      <c r="P19" s="122"/>
      <c r="Q19" s="182"/>
      <c r="R19" s="27"/>
      <c r="S19" s="18">
        <v>2300</v>
      </c>
      <c r="T19" s="78" t="s">
        <v>152</v>
      </c>
      <c r="U19" s="46">
        <v>0</v>
      </c>
      <c r="V19" s="46">
        <v>0</v>
      </c>
      <c r="X19" s="46"/>
      <c r="Y19" s="378">
        <v>0</v>
      </c>
      <c r="Z19" s="378">
        <v>0</v>
      </c>
    </row>
    <row r="20" spans="1:26" ht="22.5" customHeight="1" x14ac:dyDescent="0.25">
      <c r="B20" s="210">
        <v>2200</v>
      </c>
      <c r="C20" s="208" t="s">
        <v>898</v>
      </c>
      <c r="D20" s="395">
        <f>U18</f>
        <v>19175.212499999998</v>
      </c>
      <c r="E20" s="210">
        <f>V18</f>
        <v>2950</v>
      </c>
      <c r="F20" s="210"/>
      <c r="G20" s="210">
        <v>3094</v>
      </c>
      <c r="H20" s="210">
        <v>220000100</v>
      </c>
      <c r="I20" s="210"/>
      <c r="J20" s="210">
        <v>11</v>
      </c>
      <c r="K20" s="210"/>
      <c r="L20" s="395">
        <f>(D20-K20)/12*2</f>
        <v>3195.8687499999996</v>
      </c>
      <c r="M20" s="210" t="s">
        <v>467</v>
      </c>
      <c r="N20" s="210" t="s">
        <v>566</v>
      </c>
      <c r="O20" s="122"/>
      <c r="P20" s="122"/>
      <c r="Q20" s="182"/>
      <c r="R20" s="27"/>
      <c r="S20" s="359">
        <v>2750</v>
      </c>
      <c r="T20" s="78" t="s">
        <v>160</v>
      </c>
      <c r="U20" s="46">
        <v>311089.5</v>
      </c>
      <c r="V20" s="46">
        <v>90937.5</v>
      </c>
      <c r="X20" s="46"/>
      <c r="Y20" s="378">
        <v>90937.5</v>
      </c>
      <c r="Z20" s="378">
        <v>311089.5</v>
      </c>
    </row>
    <row r="21" spans="1:26" ht="22.5" customHeight="1" x14ac:dyDescent="0.25">
      <c r="B21" s="210"/>
      <c r="C21" s="210"/>
      <c r="D21" s="210"/>
      <c r="E21" s="210"/>
      <c r="F21" s="210"/>
      <c r="G21" s="210">
        <v>3094</v>
      </c>
      <c r="H21" s="210">
        <v>600011235</v>
      </c>
      <c r="I21" s="210"/>
      <c r="J21" s="210">
        <v>11</v>
      </c>
      <c r="K21" s="210"/>
      <c r="L21" s="395">
        <f>L20</f>
        <v>3195.8687499999996</v>
      </c>
      <c r="M21" s="210" t="s">
        <v>468</v>
      </c>
      <c r="N21" s="210" t="s">
        <v>566</v>
      </c>
      <c r="O21" s="122"/>
      <c r="P21" s="122"/>
      <c r="Q21" s="182"/>
      <c r="R21" s="27"/>
      <c r="X21" s="46"/>
      <c r="Y21" s="46"/>
      <c r="Z21" s="15"/>
    </row>
    <row r="22" spans="1:26" ht="22.5" customHeight="1" x14ac:dyDescent="0.25">
      <c r="A22" s="210"/>
      <c r="B22" s="210">
        <v>2300</v>
      </c>
      <c r="C22" s="208" t="s">
        <v>759</v>
      </c>
      <c r="D22" s="215">
        <f>U19</f>
        <v>0</v>
      </c>
      <c r="E22" s="216">
        <f>V19</f>
        <v>0</v>
      </c>
      <c r="F22" s="210"/>
      <c r="G22" s="210">
        <v>3094</v>
      </c>
      <c r="H22" s="210">
        <v>234000100</v>
      </c>
      <c r="I22" s="210"/>
      <c r="J22" s="210">
        <v>11</v>
      </c>
      <c r="K22" s="27"/>
      <c r="L22" s="209">
        <f>(D22-K22)/12*2</f>
        <v>0</v>
      </c>
      <c r="M22" s="210" t="s">
        <v>467</v>
      </c>
      <c r="N22" s="210" t="s">
        <v>566</v>
      </c>
      <c r="O22" s="122"/>
      <c r="P22" s="122"/>
      <c r="Q22" s="182"/>
      <c r="R22" s="27"/>
      <c r="S22" s="162"/>
      <c r="T22" s="78"/>
      <c r="U22" s="15"/>
      <c r="V22" s="15"/>
      <c r="X22" s="46"/>
      <c r="Y22" s="46"/>
      <c r="Z22" s="15"/>
    </row>
    <row r="23" spans="1:26" ht="22.5" customHeight="1" x14ac:dyDescent="0.25">
      <c r="A23" s="210"/>
      <c r="B23" s="210"/>
      <c r="C23" s="207"/>
      <c r="D23" s="210"/>
      <c r="E23" s="213"/>
      <c r="F23" s="210"/>
      <c r="G23" s="210">
        <v>3094</v>
      </c>
      <c r="H23" s="210">
        <v>600011235</v>
      </c>
      <c r="I23" s="210"/>
      <c r="J23" s="210">
        <v>11</v>
      </c>
      <c r="K23" s="27"/>
      <c r="L23" s="209">
        <f>L22</f>
        <v>0</v>
      </c>
      <c r="M23" s="210" t="s">
        <v>468</v>
      </c>
      <c r="N23" s="210" t="s">
        <v>566</v>
      </c>
      <c r="O23" s="122"/>
      <c r="P23" s="122"/>
      <c r="Q23" s="182"/>
      <c r="R23" s="27"/>
      <c r="Z23" s="15"/>
    </row>
    <row r="24" spans="1:26" ht="22.5" customHeight="1" x14ac:dyDescent="0.25">
      <c r="A24" s="210"/>
      <c r="B24" s="210">
        <v>2750</v>
      </c>
      <c r="C24" s="208" t="s">
        <v>160</v>
      </c>
      <c r="D24" s="209">
        <f>U20</f>
        <v>311089.5</v>
      </c>
      <c r="E24" s="212">
        <f>V20</f>
        <v>90937.5</v>
      </c>
      <c r="F24" s="210"/>
      <c r="G24" s="210">
        <v>3094</v>
      </c>
      <c r="H24" s="210">
        <v>275000100</v>
      </c>
      <c r="I24" s="210"/>
      <c r="J24" s="210">
        <v>11</v>
      </c>
      <c r="K24" s="27"/>
      <c r="L24" s="209">
        <f>(D24-K24)/12*2</f>
        <v>51848.25</v>
      </c>
      <c r="M24" s="210" t="s">
        <v>467</v>
      </c>
      <c r="N24" s="210" t="s">
        <v>566</v>
      </c>
      <c r="O24" s="122"/>
      <c r="P24" s="122"/>
      <c r="Q24" s="182"/>
      <c r="R24" s="27"/>
      <c r="Z24" s="15"/>
    </row>
    <row r="25" spans="1:26" ht="22.5" customHeight="1" x14ac:dyDescent="0.25">
      <c r="A25" s="210"/>
      <c r="B25" s="210"/>
      <c r="C25" s="207"/>
      <c r="D25" s="210"/>
      <c r="E25" s="213"/>
      <c r="F25" s="210"/>
      <c r="G25" s="210">
        <v>3094</v>
      </c>
      <c r="H25" s="210">
        <v>600011235</v>
      </c>
      <c r="I25" s="210"/>
      <c r="J25" s="210">
        <v>11</v>
      </c>
      <c r="K25" s="27"/>
      <c r="L25" s="209">
        <f>L24</f>
        <v>51848.25</v>
      </c>
      <c r="M25" s="210" t="s">
        <v>468</v>
      </c>
      <c r="N25" s="210" t="s">
        <v>566</v>
      </c>
      <c r="O25" s="122"/>
      <c r="P25" s="122"/>
      <c r="Q25" s="182"/>
      <c r="R25" s="27"/>
      <c r="Z25" s="15"/>
    </row>
    <row r="26" spans="1:26" ht="22.5" customHeight="1" x14ac:dyDescent="0.25">
      <c r="A26" s="207"/>
      <c r="B26" s="207">
        <v>2000</v>
      </c>
      <c r="C26" s="211" t="s">
        <v>366</v>
      </c>
      <c r="D26" s="207"/>
      <c r="E26" s="217">
        <f>SUM(E16:E25)</f>
        <v>372579.16666666663</v>
      </c>
      <c r="F26" s="207"/>
      <c r="G26" s="207">
        <v>3094</v>
      </c>
      <c r="H26" s="207">
        <v>200000001</v>
      </c>
      <c r="I26" s="207"/>
      <c r="J26" s="210">
        <v>11</v>
      </c>
      <c r="K26" s="27"/>
      <c r="L26" s="209">
        <f>(E26-K26)/12*2</f>
        <v>62096.527777777774</v>
      </c>
      <c r="M26" s="210" t="s">
        <v>467</v>
      </c>
      <c r="N26" s="207" t="s">
        <v>567</v>
      </c>
      <c r="O26" s="122"/>
      <c r="P26" s="122"/>
      <c r="Q26" s="182"/>
      <c r="R26" s="27"/>
      <c r="Z26" s="15"/>
    </row>
    <row r="27" spans="1:26" ht="22.5" customHeight="1" x14ac:dyDescent="0.25">
      <c r="G27" s="236">
        <v>3094</v>
      </c>
      <c r="H27" s="210">
        <v>600011235</v>
      </c>
      <c r="J27" s="210">
        <v>11</v>
      </c>
      <c r="K27" s="27"/>
      <c r="L27" s="209">
        <f>L26</f>
        <v>62096.527777777774</v>
      </c>
      <c r="M27" s="210" t="s">
        <v>468</v>
      </c>
      <c r="N27" s="207" t="s">
        <v>567</v>
      </c>
      <c r="O27" s="122"/>
      <c r="P27" s="122"/>
      <c r="Q27" s="182"/>
      <c r="R27" s="27"/>
    </row>
    <row r="28" spans="1:26" ht="22.5" customHeight="1" x14ac:dyDescent="0.25">
      <c r="A28" s="356"/>
      <c r="B28" s="356"/>
      <c r="C28" s="360"/>
      <c r="D28" s="356"/>
      <c r="E28" s="361"/>
      <c r="F28" s="356"/>
      <c r="G28" s="356"/>
      <c r="H28" s="356"/>
      <c r="I28" s="356"/>
      <c r="J28" s="356"/>
      <c r="K28" s="357"/>
      <c r="L28" s="362"/>
      <c r="M28" s="356"/>
      <c r="N28" s="356"/>
      <c r="O28" s="122"/>
      <c r="P28" s="122"/>
      <c r="Q28" s="182"/>
      <c r="R28" s="27"/>
      <c r="T28">
        <v>2020</v>
      </c>
      <c r="U28" t="s">
        <v>298</v>
      </c>
      <c r="V28" t="s">
        <v>106</v>
      </c>
      <c r="X28" s="46"/>
      <c r="Y28" s="46" t="s">
        <v>358</v>
      </c>
      <c r="Z28" t="s">
        <v>357</v>
      </c>
    </row>
    <row r="29" spans="1:26" ht="22.5" customHeight="1" x14ac:dyDescent="0.25">
      <c r="A29" s="207"/>
      <c r="K29" s="27"/>
      <c r="O29" s="122"/>
      <c r="P29" s="122"/>
      <c r="Q29" s="182"/>
      <c r="R29" s="27"/>
      <c r="S29" s="61">
        <v>3306</v>
      </c>
      <c r="T29" s="345" t="s">
        <v>813</v>
      </c>
      <c r="U29" s="46">
        <v>0</v>
      </c>
      <c r="V29" s="46">
        <v>0</v>
      </c>
      <c r="X29" s="46"/>
      <c r="Y29" s="377">
        <v>0</v>
      </c>
      <c r="Z29" s="374">
        <v>0</v>
      </c>
    </row>
    <row r="30" spans="1:26" ht="22.5" customHeight="1" x14ac:dyDescent="0.25">
      <c r="A30" s="207" t="s">
        <v>324</v>
      </c>
      <c r="B30" s="210">
        <v>3306</v>
      </c>
      <c r="C30" s="208" t="s">
        <v>197</v>
      </c>
      <c r="D30" s="218">
        <f>U29</f>
        <v>0</v>
      </c>
      <c r="E30" s="218">
        <f>V29</f>
        <v>0</v>
      </c>
      <c r="F30" s="207"/>
      <c r="G30" s="236">
        <v>3094</v>
      </c>
      <c r="H30" s="236">
        <v>330600100</v>
      </c>
      <c r="I30" s="236"/>
      <c r="J30" s="236">
        <v>11</v>
      </c>
      <c r="K30" s="27"/>
      <c r="L30" s="209">
        <f>(D30+E30-K30)/12*2</f>
        <v>0</v>
      </c>
      <c r="M30" s="210" t="s">
        <v>467</v>
      </c>
      <c r="N30" s="210" t="s">
        <v>565</v>
      </c>
      <c r="O30" s="122"/>
      <c r="P30" s="122"/>
      <c r="Q30" s="182"/>
      <c r="R30" s="27"/>
      <c r="S30">
        <v>3850</v>
      </c>
      <c r="T30" s="78" t="s">
        <v>470</v>
      </c>
      <c r="U30" s="46">
        <v>0</v>
      </c>
      <c r="V30" s="46">
        <v>0</v>
      </c>
      <c r="X30" s="46"/>
      <c r="Y30" s="377">
        <v>0</v>
      </c>
      <c r="Z30" s="374">
        <v>0</v>
      </c>
    </row>
    <row r="31" spans="1:26" ht="22.5" customHeight="1" x14ac:dyDescent="0.25">
      <c r="B31" s="210"/>
      <c r="C31" s="208"/>
      <c r="G31" s="236">
        <v>3094</v>
      </c>
      <c r="H31" s="210">
        <v>600011235</v>
      </c>
      <c r="J31" s="236">
        <v>11</v>
      </c>
      <c r="K31" s="27"/>
      <c r="L31" s="218">
        <f>L30</f>
        <v>0</v>
      </c>
      <c r="M31" s="210" t="s">
        <v>468</v>
      </c>
      <c r="N31" s="210" t="s">
        <v>565</v>
      </c>
      <c r="O31" s="122"/>
      <c r="P31" s="122"/>
      <c r="Q31" s="182"/>
      <c r="R31" s="27"/>
      <c r="X31" s="46"/>
      <c r="Y31" s="46"/>
      <c r="Z31" s="15"/>
    </row>
    <row r="32" spans="1:26" ht="22.5" customHeight="1" x14ac:dyDescent="0.25">
      <c r="B32" s="210">
        <v>3850</v>
      </c>
      <c r="C32" s="208" t="s">
        <v>470</v>
      </c>
      <c r="D32" s="218">
        <f>U30</f>
        <v>0</v>
      </c>
      <c r="E32" s="218">
        <f>V30</f>
        <v>0</v>
      </c>
      <c r="G32" s="236">
        <v>3094</v>
      </c>
      <c r="H32" s="214">
        <v>385000002</v>
      </c>
      <c r="J32" s="236">
        <v>11</v>
      </c>
      <c r="K32" s="27"/>
      <c r="L32" s="209">
        <f>(D32+E32-K32)/12*2</f>
        <v>0</v>
      </c>
      <c r="M32" s="210" t="s">
        <v>467</v>
      </c>
      <c r="N32" s="210" t="s">
        <v>565</v>
      </c>
      <c r="O32" s="122"/>
      <c r="P32" s="122"/>
      <c r="Q32" s="182"/>
      <c r="R32" s="27"/>
      <c r="X32" s="46"/>
      <c r="Y32" s="46"/>
      <c r="Z32" s="15"/>
    </row>
    <row r="33" spans="1:26" ht="22.5" customHeight="1" x14ac:dyDescent="0.25">
      <c r="G33" s="236">
        <v>3094</v>
      </c>
      <c r="H33" s="210">
        <v>600011235</v>
      </c>
      <c r="J33" s="236">
        <v>11</v>
      </c>
      <c r="K33" s="27"/>
      <c r="L33" s="218">
        <f>L32</f>
        <v>0</v>
      </c>
      <c r="M33" s="210" t="s">
        <v>468</v>
      </c>
      <c r="N33" s="210" t="s">
        <v>565</v>
      </c>
      <c r="O33" s="122"/>
      <c r="P33" s="122"/>
      <c r="Q33" s="182"/>
      <c r="R33" s="27"/>
      <c r="X33" s="46"/>
      <c r="Y33" s="46"/>
    </row>
    <row r="34" spans="1:26" ht="22.5" customHeight="1" x14ac:dyDescent="0.25">
      <c r="A34" s="356"/>
      <c r="B34" s="356"/>
      <c r="C34" s="363"/>
      <c r="D34" s="362"/>
      <c r="E34" s="362"/>
      <c r="F34" s="356"/>
      <c r="G34" s="364"/>
      <c r="H34" s="364"/>
      <c r="I34" s="364"/>
      <c r="J34" s="364"/>
      <c r="K34" s="357"/>
      <c r="L34" s="362"/>
      <c r="M34" s="356"/>
      <c r="N34" s="356"/>
      <c r="O34" s="122"/>
      <c r="P34" s="122"/>
      <c r="Q34" s="182"/>
      <c r="R34" s="27"/>
      <c r="S34" s="122"/>
      <c r="T34">
        <v>2020</v>
      </c>
      <c r="U34" t="s">
        <v>298</v>
      </c>
      <c r="V34" t="s">
        <v>106</v>
      </c>
      <c r="X34" s="46"/>
      <c r="Y34" s="46" t="s">
        <v>358</v>
      </c>
      <c r="Z34" t="s">
        <v>357</v>
      </c>
    </row>
    <row r="35" spans="1:26" ht="22.5" customHeight="1" x14ac:dyDescent="0.25">
      <c r="K35" s="27"/>
      <c r="O35" s="122"/>
      <c r="P35" s="122"/>
      <c r="Q35" s="182"/>
      <c r="R35" s="27"/>
      <c r="S35">
        <v>5100</v>
      </c>
      <c r="T35" s="78" t="s">
        <v>119</v>
      </c>
      <c r="U35" s="46">
        <v>0</v>
      </c>
      <c r="V35" s="46">
        <v>0</v>
      </c>
      <c r="X35" s="46"/>
      <c r="Y35" s="377">
        <v>0</v>
      </c>
      <c r="Z35" s="374">
        <v>0</v>
      </c>
    </row>
    <row r="36" spans="1:26" ht="22.5" customHeight="1" x14ac:dyDescent="0.25">
      <c r="A36" s="210" t="s">
        <v>367</v>
      </c>
      <c r="B36" s="210">
        <v>5100</v>
      </c>
      <c r="C36" s="78" t="s">
        <v>119</v>
      </c>
      <c r="D36" s="218">
        <f>U35</f>
        <v>0</v>
      </c>
      <c r="E36" s="218">
        <f>V35</f>
        <v>0</v>
      </c>
      <c r="G36" s="236">
        <v>3094</v>
      </c>
      <c r="H36" s="236">
        <v>510010100</v>
      </c>
      <c r="J36" s="236">
        <v>11</v>
      </c>
      <c r="K36" s="27"/>
      <c r="L36" s="209">
        <f>(D36+E36-K36)/12*2</f>
        <v>0</v>
      </c>
      <c r="M36" s="210" t="s">
        <v>467</v>
      </c>
      <c r="N36" s="210" t="s">
        <v>565</v>
      </c>
      <c r="O36" s="122"/>
      <c r="P36" s="122"/>
      <c r="Q36" s="182"/>
      <c r="R36" s="27"/>
      <c r="S36">
        <v>5400</v>
      </c>
      <c r="T36" s="78" t="s">
        <v>263</v>
      </c>
      <c r="U36" s="46">
        <v>0</v>
      </c>
      <c r="V36" s="46">
        <v>0</v>
      </c>
      <c r="X36" s="46"/>
      <c r="Y36" s="377">
        <v>0</v>
      </c>
      <c r="Z36" s="374">
        <v>0</v>
      </c>
    </row>
    <row r="37" spans="1:26" ht="22.5" customHeight="1" x14ac:dyDescent="0.25">
      <c r="D37" s="218"/>
      <c r="G37" s="236">
        <v>3094</v>
      </c>
      <c r="H37" s="236">
        <v>600011235</v>
      </c>
      <c r="J37" s="236">
        <v>11</v>
      </c>
      <c r="K37" s="27"/>
      <c r="L37" s="218">
        <f>L36</f>
        <v>0</v>
      </c>
      <c r="M37" s="210" t="s">
        <v>468</v>
      </c>
      <c r="N37" s="210" t="s">
        <v>565</v>
      </c>
      <c r="O37" s="122"/>
      <c r="P37" s="122"/>
      <c r="Q37" s="182"/>
      <c r="R37" s="27"/>
      <c r="S37">
        <v>5410</v>
      </c>
      <c r="T37" s="78" t="s">
        <v>497</v>
      </c>
      <c r="U37" s="46">
        <v>0</v>
      </c>
      <c r="V37" s="46">
        <v>0</v>
      </c>
      <c r="X37" s="46"/>
      <c r="Y37" s="377">
        <v>0</v>
      </c>
      <c r="Z37" s="374">
        <v>0</v>
      </c>
    </row>
    <row r="38" spans="1:26" ht="22.5" customHeight="1" x14ac:dyDescent="0.25">
      <c r="B38" s="210">
        <v>5400</v>
      </c>
      <c r="C38" s="345" t="s">
        <v>761</v>
      </c>
      <c r="D38" s="218">
        <f>U36</f>
        <v>0</v>
      </c>
      <c r="E38" s="218">
        <f>V36</f>
        <v>0</v>
      </c>
      <c r="G38" s="236">
        <v>3094</v>
      </c>
      <c r="H38" s="236">
        <v>540000100</v>
      </c>
      <c r="J38" s="236">
        <v>11</v>
      </c>
      <c r="K38" s="27"/>
      <c r="L38" s="209">
        <f>(D38+E38-K38)/12*2</f>
        <v>0</v>
      </c>
      <c r="M38" s="236" t="s">
        <v>467</v>
      </c>
      <c r="N38" s="210" t="s">
        <v>565</v>
      </c>
      <c r="O38" s="122"/>
      <c r="P38" s="122"/>
      <c r="Q38" s="182"/>
      <c r="R38" s="27"/>
      <c r="S38">
        <v>5500</v>
      </c>
      <c r="T38" s="78" t="s">
        <v>120</v>
      </c>
      <c r="U38" s="46">
        <v>0</v>
      </c>
      <c r="V38" s="46">
        <v>0</v>
      </c>
      <c r="X38" s="46"/>
      <c r="Y38" s="377">
        <v>0</v>
      </c>
      <c r="Z38" s="374">
        <v>0</v>
      </c>
    </row>
    <row r="39" spans="1:26" ht="22.5" customHeight="1" x14ac:dyDescent="0.25">
      <c r="B39" s="210"/>
      <c r="C39" s="78"/>
      <c r="D39" s="218"/>
      <c r="E39" s="218"/>
      <c r="G39" s="236">
        <v>3094</v>
      </c>
      <c r="H39" s="236">
        <v>600011235</v>
      </c>
      <c r="J39" s="236">
        <v>11</v>
      </c>
      <c r="K39" s="27"/>
      <c r="L39" s="218">
        <f>L38</f>
        <v>0</v>
      </c>
      <c r="M39" s="236" t="s">
        <v>468</v>
      </c>
      <c r="N39" s="210" t="s">
        <v>565</v>
      </c>
      <c r="O39" s="122"/>
      <c r="P39" s="122"/>
      <c r="Q39" s="251"/>
      <c r="R39" s="27"/>
      <c r="S39">
        <v>5730</v>
      </c>
      <c r="T39" s="78" t="s">
        <v>121</v>
      </c>
      <c r="U39" s="46">
        <v>6916.875</v>
      </c>
      <c r="V39" s="46">
        <v>2775</v>
      </c>
      <c r="X39" s="46"/>
      <c r="Y39" s="377">
        <v>2775</v>
      </c>
      <c r="Z39" s="374">
        <v>6916.875</v>
      </c>
    </row>
    <row r="40" spans="1:26" ht="22.5" customHeight="1" x14ac:dyDescent="0.25">
      <c r="B40" s="210">
        <v>5410</v>
      </c>
      <c r="C40" s="345" t="s">
        <v>497</v>
      </c>
      <c r="D40" s="218">
        <f>U37</f>
        <v>0</v>
      </c>
      <c r="E40" s="218">
        <f>V37</f>
        <v>0</v>
      </c>
      <c r="G40" s="236">
        <v>3094</v>
      </c>
      <c r="H40" s="236">
        <v>541000100</v>
      </c>
      <c r="J40" s="236">
        <v>11</v>
      </c>
      <c r="K40" s="27"/>
      <c r="L40" s="209">
        <f>(D40+E40-K40)/12*2</f>
        <v>0</v>
      </c>
      <c r="M40" s="210" t="s">
        <v>467</v>
      </c>
      <c r="N40" s="210" t="s">
        <v>565</v>
      </c>
      <c r="O40" s="122"/>
      <c r="P40" s="122"/>
      <c r="Q40" s="122"/>
      <c r="R40" s="27"/>
      <c r="S40">
        <v>5740</v>
      </c>
      <c r="T40" s="78" t="s">
        <v>365</v>
      </c>
      <c r="U40" s="46">
        <v>1112823.7110000001</v>
      </c>
      <c r="V40" s="46">
        <v>174580</v>
      </c>
      <c r="X40" s="46"/>
      <c r="Y40" s="377">
        <v>174580</v>
      </c>
      <c r="Z40" s="374">
        <v>1112823.7110000001</v>
      </c>
    </row>
    <row r="41" spans="1:26" ht="22.5" customHeight="1" x14ac:dyDescent="0.25">
      <c r="B41" s="210"/>
      <c r="C41" s="78"/>
      <c r="D41" s="218"/>
      <c r="E41" s="218"/>
      <c r="G41" s="236">
        <v>3094</v>
      </c>
      <c r="H41" s="236">
        <v>600011235</v>
      </c>
      <c r="J41" s="236">
        <v>11</v>
      </c>
      <c r="K41" s="27"/>
      <c r="L41" s="218">
        <f>L40</f>
        <v>0</v>
      </c>
      <c r="M41" s="210" t="s">
        <v>468</v>
      </c>
      <c r="N41" s="210" t="s">
        <v>565</v>
      </c>
      <c r="O41" s="122"/>
      <c r="P41" s="122"/>
      <c r="Q41" s="122"/>
      <c r="R41" s="27"/>
      <c r="T41" s="78"/>
      <c r="U41" s="122"/>
      <c r="V41" s="182"/>
      <c r="X41" s="46"/>
      <c r="Y41" s="46"/>
    </row>
    <row r="42" spans="1:26" ht="22.5" customHeight="1" x14ac:dyDescent="0.25">
      <c r="B42" s="210">
        <v>5500</v>
      </c>
      <c r="C42" s="345" t="s">
        <v>760</v>
      </c>
      <c r="D42" s="218">
        <f>U38</f>
        <v>0</v>
      </c>
      <c r="E42" s="218">
        <f>V38</f>
        <v>0</v>
      </c>
      <c r="G42" s="236">
        <v>3094</v>
      </c>
      <c r="H42" s="236">
        <v>550001100</v>
      </c>
      <c r="J42" s="236">
        <v>11</v>
      </c>
      <c r="K42" s="27"/>
      <c r="L42" s="209">
        <f>(D42+E42-K42)/12*2</f>
        <v>0</v>
      </c>
      <c r="M42" s="236" t="s">
        <v>467</v>
      </c>
      <c r="N42" s="210" t="s">
        <v>565</v>
      </c>
      <c r="O42" s="122"/>
      <c r="P42" s="122"/>
      <c r="Q42" s="122"/>
      <c r="R42" s="27"/>
      <c r="T42" s="78"/>
      <c r="U42" s="122"/>
      <c r="V42" s="182"/>
      <c r="X42" s="46"/>
      <c r="Y42" s="46"/>
    </row>
    <row r="43" spans="1:26" ht="22.5" customHeight="1" x14ac:dyDescent="0.25">
      <c r="B43" s="210"/>
      <c r="C43" s="78"/>
      <c r="D43" s="218"/>
      <c r="E43" s="218"/>
      <c r="G43" s="236">
        <v>3094</v>
      </c>
      <c r="H43" s="236">
        <v>600011235</v>
      </c>
      <c r="J43" s="236">
        <v>11</v>
      </c>
      <c r="K43" s="27"/>
      <c r="L43" s="218">
        <f>L42</f>
        <v>0</v>
      </c>
      <c r="M43" s="236" t="s">
        <v>468</v>
      </c>
      <c r="N43" s="210" t="s">
        <v>565</v>
      </c>
      <c r="O43" s="122"/>
      <c r="P43" s="122"/>
      <c r="Q43" s="122"/>
      <c r="R43" s="27"/>
      <c r="T43" s="78"/>
      <c r="U43" s="122"/>
      <c r="V43" s="182"/>
      <c r="X43" s="46"/>
      <c r="Y43" s="46"/>
      <c r="Z43" s="15"/>
    </row>
    <row r="44" spans="1:26" ht="22.5" customHeight="1" x14ac:dyDescent="0.25">
      <c r="B44" s="210">
        <v>5730</v>
      </c>
      <c r="C44" s="208" t="s">
        <v>121</v>
      </c>
      <c r="D44" s="218">
        <f>U39</f>
        <v>6916.875</v>
      </c>
      <c r="E44" s="218">
        <f>V39</f>
        <v>2775</v>
      </c>
      <c r="G44" s="236">
        <v>3094</v>
      </c>
      <c r="H44" s="236">
        <v>573000111</v>
      </c>
      <c r="J44" s="236">
        <v>11</v>
      </c>
      <c r="K44" s="27"/>
      <c r="L44" s="209">
        <f>(D44+E44-K44)/12*2</f>
        <v>1615.3125</v>
      </c>
      <c r="M44" s="210" t="s">
        <v>467</v>
      </c>
      <c r="N44" s="210" t="s">
        <v>565</v>
      </c>
      <c r="O44" s="122"/>
      <c r="P44" s="122"/>
      <c r="Q44" s="122"/>
      <c r="R44" s="27"/>
      <c r="S44" s="18"/>
      <c r="T44" s="78"/>
      <c r="U44" s="15"/>
      <c r="V44" s="15"/>
      <c r="X44" s="46"/>
      <c r="Y44" s="46"/>
      <c r="Z44" s="15"/>
    </row>
    <row r="45" spans="1:26" ht="22.5" customHeight="1" x14ac:dyDescent="0.25">
      <c r="G45" s="236">
        <v>3094</v>
      </c>
      <c r="H45" s="236">
        <v>600011235</v>
      </c>
      <c r="J45" s="236">
        <v>11</v>
      </c>
      <c r="K45" s="27"/>
      <c r="L45" s="218">
        <f>L44</f>
        <v>1615.3125</v>
      </c>
      <c r="M45" s="210" t="s">
        <v>468</v>
      </c>
      <c r="N45" s="210" t="s">
        <v>565</v>
      </c>
      <c r="O45" s="122"/>
      <c r="P45" s="122"/>
      <c r="Q45" s="122"/>
      <c r="S45" s="18"/>
      <c r="T45" s="78"/>
      <c r="U45" s="15"/>
      <c r="V45" s="15"/>
      <c r="X45" s="46"/>
      <c r="Y45" s="46"/>
    </row>
    <row r="46" spans="1:26" ht="22.5" customHeight="1" x14ac:dyDescent="0.25">
      <c r="B46" s="210">
        <v>5740</v>
      </c>
      <c r="C46" s="208" t="s">
        <v>365</v>
      </c>
      <c r="D46" s="218">
        <f>U40</f>
        <v>1112823.7110000001</v>
      </c>
      <c r="E46" s="218">
        <f>V40</f>
        <v>174580</v>
      </c>
      <c r="F46" s="210"/>
      <c r="G46" s="236">
        <v>3094</v>
      </c>
      <c r="H46" s="214">
        <v>574002011</v>
      </c>
      <c r="I46" s="210"/>
      <c r="J46" s="210">
        <v>11</v>
      </c>
      <c r="K46" s="27"/>
      <c r="L46" s="209">
        <f>(D46+E46-K46)/12*2</f>
        <v>214567.2851666667</v>
      </c>
      <c r="M46" s="210" t="s">
        <v>467</v>
      </c>
      <c r="N46" s="210" t="s">
        <v>565</v>
      </c>
      <c r="O46" s="122"/>
      <c r="P46" s="122"/>
      <c r="Q46" s="122"/>
      <c r="X46" s="46"/>
      <c r="Y46" s="46"/>
    </row>
    <row r="47" spans="1:26" ht="22.5" customHeight="1" x14ac:dyDescent="0.25">
      <c r="B47" s="210"/>
      <c r="C47" s="207"/>
      <c r="D47" s="210"/>
      <c r="E47" s="210"/>
      <c r="F47" s="210"/>
      <c r="G47" s="236">
        <v>3094</v>
      </c>
      <c r="H47" s="210">
        <v>600011235</v>
      </c>
      <c r="I47" s="210"/>
      <c r="J47" s="210">
        <v>11</v>
      </c>
      <c r="K47" s="27"/>
      <c r="L47" s="218">
        <f>L46</f>
        <v>214567.2851666667</v>
      </c>
      <c r="M47" s="210" t="s">
        <v>468</v>
      </c>
      <c r="N47" s="210" t="s">
        <v>565</v>
      </c>
      <c r="O47" s="122"/>
      <c r="P47" s="122"/>
      <c r="Q47" s="122"/>
      <c r="X47" s="46"/>
      <c r="Y47" s="46"/>
    </row>
    <row r="48" spans="1:26" ht="22.5" customHeight="1" x14ac:dyDescent="0.25">
      <c r="A48" s="356"/>
      <c r="B48" s="356"/>
      <c r="C48" s="356"/>
      <c r="D48" s="356"/>
      <c r="E48" s="356"/>
      <c r="F48" s="356"/>
      <c r="G48" s="356"/>
      <c r="H48" s="356"/>
      <c r="I48" s="356"/>
      <c r="J48" s="356"/>
      <c r="K48" s="365"/>
      <c r="L48" s="358"/>
      <c r="M48" s="356"/>
      <c r="N48" s="356"/>
      <c r="O48" s="122"/>
      <c r="P48" s="122"/>
      <c r="Q48" s="122"/>
      <c r="X48" s="46"/>
      <c r="Y48" s="46"/>
    </row>
    <row r="49" spans="3:26" ht="22.5" customHeight="1" x14ac:dyDescent="0.25">
      <c r="D49" s="27">
        <f>SUM(D6:D48)</f>
        <v>6371385.6412500003</v>
      </c>
      <c r="E49" s="27">
        <f>SUM(E6:E24,E30:E32,E36:E46)</f>
        <v>1551376.0416666665</v>
      </c>
      <c r="L49" s="218">
        <f>SUM(L6:L47)/2</f>
        <v>1320460.2804861113</v>
      </c>
      <c r="P49" s="122"/>
      <c r="Q49" s="122"/>
      <c r="X49" s="46"/>
      <c r="Y49" s="46"/>
      <c r="Z49" s="15"/>
    </row>
    <row r="50" spans="3:26" ht="22.5" customHeight="1" x14ac:dyDescent="0.25">
      <c r="E50" s="350">
        <f>SUM(D49:E49)</f>
        <v>7922761.6829166673</v>
      </c>
      <c r="P50" s="122"/>
      <c r="Q50" s="122"/>
      <c r="X50" s="46"/>
      <c r="Y50" s="46"/>
      <c r="Z50" s="15"/>
    </row>
    <row r="51" spans="3:26" ht="22.5" customHeight="1" x14ac:dyDescent="0.25">
      <c r="E51" s="27"/>
      <c r="I51" s="366" t="s">
        <v>369</v>
      </c>
      <c r="J51" s="367"/>
      <c r="K51" s="367"/>
      <c r="L51" s="367"/>
      <c r="M51" s="367"/>
      <c r="N51" s="368"/>
      <c r="O51" s="18"/>
      <c r="P51" s="122"/>
      <c r="Q51" s="122"/>
      <c r="X51" s="46"/>
      <c r="Y51" s="46"/>
      <c r="Z51" s="15"/>
    </row>
    <row r="52" spans="3:26" ht="22.5" customHeight="1" x14ac:dyDescent="0.25">
      <c r="I52" s="369"/>
      <c r="J52" s="365"/>
      <c r="K52" s="365"/>
      <c r="L52" s="365"/>
      <c r="M52" s="365"/>
      <c r="N52" s="370"/>
      <c r="O52" s="18"/>
      <c r="P52" s="122"/>
      <c r="Q52" s="122"/>
      <c r="X52" s="46"/>
      <c r="Y52" s="46"/>
      <c r="Z52" s="15"/>
    </row>
    <row r="53" spans="3:26" ht="22.5" customHeight="1" x14ac:dyDescent="0.25">
      <c r="I53" s="371" t="s">
        <v>826</v>
      </c>
      <c r="J53" s="237"/>
      <c r="K53" s="237"/>
      <c r="L53" s="237"/>
      <c r="M53" s="237"/>
      <c r="N53" s="355"/>
      <c r="O53" s="18"/>
      <c r="P53" s="122"/>
      <c r="Q53" s="122"/>
      <c r="X53" s="46"/>
      <c r="Y53" s="46"/>
    </row>
    <row r="54" spans="3:26" ht="22.5" customHeight="1" x14ac:dyDescent="0.25">
      <c r="C54" s="78"/>
      <c r="D54" s="122"/>
      <c r="E54" s="122"/>
      <c r="O54" s="122"/>
      <c r="P54" s="122"/>
      <c r="Q54" s="122"/>
      <c r="X54" s="46"/>
      <c r="Y54" s="46"/>
    </row>
    <row r="55" spans="3:26" ht="22.5" customHeight="1" x14ac:dyDescent="0.25">
      <c r="I55" s="372" t="s">
        <v>333</v>
      </c>
      <c r="J55" s="367"/>
      <c r="K55" s="367"/>
      <c r="L55" s="367"/>
      <c r="M55" s="367"/>
      <c r="N55" s="368"/>
      <c r="O55" s="122"/>
      <c r="P55" s="122"/>
      <c r="Q55" s="122"/>
      <c r="X55" s="46"/>
      <c r="Y55" s="46"/>
    </row>
    <row r="56" spans="3:26" ht="22.5" customHeight="1" x14ac:dyDescent="0.25">
      <c r="I56" s="369"/>
      <c r="J56" s="365"/>
      <c r="K56" s="365"/>
      <c r="L56" s="365"/>
      <c r="M56" s="365"/>
      <c r="N56" s="370"/>
      <c r="O56" s="122"/>
      <c r="P56" s="122"/>
      <c r="Q56" s="122"/>
      <c r="X56" s="46"/>
      <c r="Y56" s="46"/>
    </row>
    <row r="57" spans="3:26" ht="22.5" customHeight="1" x14ac:dyDescent="0.25">
      <c r="I57" s="371" t="s">
        <v>662</v>
      </c>
      <c r="J57" s="237"/>
      <c r="K57" s="237"/>
      <c r="L57" s="237"/>
      <c r="M57" s="237"/>
      <c r="N57" s="355"/>
      <c r="O57" s="122"/>
      <c r="P57" s="122"/>
      <c r="Q57" s="122"/>
      <c r="X57" s="46"/>
      <c r="Y57" s="46"/>
    </row>
    <row r="58" spans="3:26" ht="22.5" customHeight="1" x14ac:dyDescent="0.25">
      <c r="O58" s="166"/>
      <c r="P58" s="166"/>
      <c r="Q58" s="166"/>
      <c r="X58" s="46"/>
      <c r="Y58" s="46"/>
    </row>
    <row r="59" spans="3:26" ht="22.5" customHeight="1" x14ac:dyDescent="0.25">
      <c r="O59" s="122"/>
      <c r="P59" s="122"/>
      <c r="Q59" s="122"/>
      <c r="X59" s="46"/>
      <c r="Y59" s="46"/>
    </row>
    <row r="60" spans="3:26" ht="22.5" customHeight="1" x14ac:dyDescent="0.25">
      <c r="O60" s="166"/>
      <c r="P60" s="166"/>
      <c r="Q60" s="166"/>
      <c r="X60" s="46"/>
      <c r="Y60" s="46"/>
    </row>
    <row r="61" spans="3:26" ht="22.5" customHeight="1" x14ac:dyDescent="0.25">
      <c r="O61" s="122"/>
      <c r="P61" s="122"/>
      <c r="Q61" s="122"/>
      <c r="X61" s="46"/>
      <c r="Y61" s="46"/>
    </row>
    <row r="62" spans="3:26" ht="22.5" customHeight="1" x14ac:dyDescent="0.25">
      <c r="O62" s="122"/>
      <c r="P62" s="122"/>
      <c r="Q62" s="122"/>
      <c r="X62" s="46"/>
      <c r="Y62" s="46"/>
    </row>
    <row r="63" spans="3:26" ht="22.5" customHeight="1" x14ac:dyDescent="0.25">
      <c r="O63" s="166"/>
      <c r="P63" s="166"/>
      <c r="Q63" s="166"/>
      <c r="X63" s="46"/>
      <c r="Y63" s="46"/>
    </row>
    <row r="64" spans="3:26" ht="22.5" customHeight="1" x14ac:dyDescent="0.25">
      <c r="O64" s="122"/>
      <c r="P64" s="122"/>
      <c r="Q64" s="122"/>
      <c r="X64" s="46"/>
      <c r="Y64" s="46"/>
    </row>
    <row r="65" spans="15:25" ht="25.5" customHeight="1" x14ac:dyDescent="0.25">
      <c r="O65" s="18"/>
      <c r="P65" s="18"/>
      <c r="Q65" s="18"/>
      <c r="X65" s="46"/>
      <c r="Y65" s="46"/>
    </row>
    <row r="66" spans="15:25" ht="15" customHeight="1" x14ac:dyDescent="0.25">
      <c r="O66" s="18"/>
      <c r="P66" s="18"/>
      <c r="Q66" s="18"/>
      <c r="X66" s="46"/>
      <c r="Y66" s="46"/>
    </row>
    <row r="67" spans="15:25" ht="15" customHeight="1" x14ac:dyDescent="0.25">
      <c r="X67" s="46"/>
      <c r="Y67" s="46"/>
    </row>
  </sheetData>
  <sheetProtection sheet="1" objects="1" scenarios="1"/>
  <mergeCells count="2">
    <mergeCell ref="O3:T3"/>
    <mergeCell ref="Y4:Z4"/>
  </mergeCells>
  <printOptions gridLines="1"/>
  <pageMargins left="0.43307086614173229" right="0.39370078740157483" top="0.86614173228346458" bottom="0.78740157480314965" header="0.31496062992125984" footer="0.31496062992125984"/>
  <pageSetup paperSize="9" scale="37" fitToHeight="0" orientation="landscape" cellComments="asDisplayed" r:id="rId1"/>
  <headerFooter>
    <oddHeader xml:space="preserve">&amp;LUMEÅ UNIVERSITET
Lärarhögskolan
Eva Alenius&amp;CVAL - RESURSER
2020&amp;RBOKFÖRINGSORDER
</oddHeader>
    <oddFooter>&amp;L&amp;F&amp;C&amp;A&amp;R&amp;P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7"/>
  <sheetViews>
    <sheetView zoomScaleNormal="100" zoomScalePageLayoutView="90" workbookViewId="0">
      <selection activeCell="L46" sqref="L46"/>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4.42578125" customWidth="1"/>
    <col min="12" max="12" width="19"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38" t="s">
        <v>276</v>
      </c>
      <c r="L1" s="354" t="s">
        <v>331</v>
      </c>
      <c r="M1" s="354"/>
      <c r="N1" s="355"/>
      <c r="O1" s="18"/>
      <c r="P1" s="18"/>
      <c r="Q1" s="18"/>
    </row>
    <row r="2" spans="1:26" ht="27.75" customHeight="1" x14ac:dyDescent="0.3">
      <c r="C2" s="163" t="s">
        <v>903</v>
      </c>
      <c r="D2" s="204"/>
      <c r="L2" s="354" t="s">
        <v>332</v>
      </c>
      <c r="M2" s="354"/>
      <c r="N2" s="397"/>
      <c r="O2" s="18"/>
      <c r="P2" s="18"/>
      <c r="Q2" s="18"/>
    </row>
    <row r="3" spans="1:26" ht="27.75" customHeight="1" x14ac:dyDescent="0.25">
      <c r="A3" s="18"/>
      <c r="B3" s="18"/>
      <c r="O3" s="426"/>
      <c r="P3" s="427"/>
      <c r="Q3" s="427"/>
      <c r="R3" s="427"/>
      <c r="S3" s="427"/>
      <c r="T3" s="427"/>
    </row>
    <row r="4" spans="1:26" ht="51.75" customHeight="1" x14ac:dyDescent="0.25">
      <c r="A4" s="28" t="s">
        <v>64</v>
      </c>
      <c r="B4" s="28" t="s">
        <v>466</v>
      </c>
      <c r="C4" s="28" t="s">
        <v>33</v>
      </c>
      <c r="D4" s="165" t="s">
        <v>893</v>
      </c>
      <c r="E4" s="165" t="s">
        <v>894</v>
      </c>
      <c r="G4" s="164" t="s">
        <v>334</v>
      </c>
      <c r="H4" s="164" t="s">
        <v>335</v>
      </c>
      <c r="I4" s="164"/>
      <c r="J4" s="164" t="s">
        <v>336</v>
      </c>
      <c r="K4" s="343" t="s">
        <v>895</v>
      </c>
      <c r="L4" s="342" t="s">
        <v>904</v>
      </c>
      <c r="M4" s="164" t="s">
        <v>338</v>
      </c>
      <c r="N4" s="164" t="s">
        <v>337</v>
      </c>
      <c r="O4" s="244"/>
      <c r="P4" s="252"/>
      <c r="Q4" s="252"/>
      <c r="T4" s="61" t="s">
        <v>896</v>
      </c>
      <c r="Y4" s="428" t="s">
        <v>823</v>
      </c>
      <c r="Z4" s="428"/>
    </row>
    <row r="5" spans="1:26" ht="22.5" customHeight="1" x14ac:dyDescent="0.25">
      <c r="O5" s="18"/>
      <c r="P5" s="18"/>
      <c r="Q5" s="18"/>
      <c r="T5">
        <v>2020</v>
      </c>
      <c r="U5" t="s">
        <v>298</v>
      </c>
      <c r="V5" t="s">
        <v>106</v>
      </c>
      <c r="Y5" s="373" t="s">
        <v>358</v>
      </c>
      <c r="Z5" s="373" t="s">
        <v>357</v>
      </c>
    </row>
    <row r="6" spans="1:26" ht="22.5" customHeight="1" x14ac:dyDescent="0.25">
      <c r="A6" s="207" t="s">
        <v>321</v>
      </c>
      <c r="B6" s="207">
        <v>1620</v>
      </c>
      <c r="C6" s="208" t="s">
        <v>131</v>
      </c>
      <c r="D6" s="209">
        <f>U6</f>
        <v>413901.09375</v>
      </c>
      <c r="E6" s="209">
        <f>V6</f>
        <v>69834.375</v>
      </c>
      <c r="F6" s="210"/>
      <c r="G6" s="210">
        <v>3094</v>
      </c>
      <c r="H6" s="210">
        <v>162000100</v>
      </c>
      <c r="I6" s="210"/>
      <c r="J6" s="210">
        <v>11</v>
      </c>
      <c r="K6" s="27"/>
      <c r="L6" s="209">
        <f>(D6+E6-K6)/12</f>
        <v>40311.2890625</v>
      </c>
      <c r="M6" s="210" t="s">
        <v>467</v>
      </c>
      <c r="N6" s="210" t="s">
        <v>565</v>
      </c>
      <c r="O6" s="122"/>
      <c r="P6" s="122"/>
      <c r="Q6" s="122"/>
      <c r="R6" s="27"/>
      <c r="S6" s="61">
        <v>1620</v>
      </c>
      <c r="T6" s="78" t="s">
        <v>131</v>
      </c>
      <c r="U6" s="46">
        <v>413901.09375</v>
      </c>
      <c r="V6" s="46">
        <v>69834.375</v>
      </c>
      <c r="X6" s="46"/>
      <c r="Y6" s="377">
        <v>69834.375</v>
      </c>
      <c r="Z6" s="377">
        <v>413901.09375</v>
      </c>
    </row>
    <row r="7" spans="1:26" ht="22.5" customHeight="1" x14ac:dyDescent="0.25">
      <c r="A7" s="210"/>
      <c r="B7" s="210"/>
      <c r="C7" s="207"/>
      <c r="D7" s="210"/>
      <c r="E7" s="210"/>
      <c r="F7" s="210"/>
      <c r="G7" s="210">
        <v>3094</v>
      </c>
      <c r="H7" s="210">
        <v>600011235</v>
      </c>
      <c r="I7" s="210"/>
      <c r="J7" s="210">
        <v>11</v>
      </c>
      <c r="K7" s="27"/>
      <c r="L7" s="209">
        <f>L6</f>
        <v>40311.2890625</v>
      </c>
      <c r="M7" s="210" t="s">
        <v>468</v>
      </c>
      <c r="N7" s="210" t="s">
        <v>565</v>
      </c>
      <c r="O7" s="122"/>
      <c r="P7" s="122"/>
      <c r="Q7" s="122"/>
      <c r="R7" s="27"/>
      <c r="S7" s="18">
        <v>1630</v>
      </c>
      <c r="T7" s="78" t="s">
        <v>127</v>
      </c>
      <c r="U7" s="46">
        <v>26379</v>
      </c>
      <c r="V7" s="46">
        <v>4425</v>
      </c>
      <c r="X7" s="46"/>
      <c r="Y7" s="377">
        <v>4425</v>
      </c>
      <c r="Z7" s="377">
        <v>26379</v>
      </c>
    </row>
    <row r="8" spans="1:26" ht="22.5" customHeight="1" x14ac:dyDescent="0.25">
      <c r="A8" s="210"/>
      <c r="B8" s="210">
        <v>1630</v>
      </c>
      <c r="C8" s="208" t="s">
        <v>127</v>
      </c>
      <c r="D8" s="209">
        <f>U7</f>
        <v>26379</v>
      </c>
      <c r="E8" s="209">
        <f>V7</f>
        <v>4425</v>
      </c>
      <c r="F8" s="210"/>
      <c r="G8" s="210">
        <v>3094</v>
      </c>
      <c r="H8" s="210">
        <v>163000100</v>
      </c>
      <c r="I8" s="210"/>
      <c r="J8" s="210">
        <v>11</v>
      </c>
      <c r="K8" s="27"/>
      <c r="L8" s="209">
        <f>(D8+E8-K8)/12</f>
        <v>2567</v>
      </c>
      <c r="M8" s="210" t="s">
        <v>467</v>
      </c>
      <c r="N8" s="210" t="s">
        <v>565</v>
      </c>
      <c r="O8" s="122"/>
      <c r="P8" s="122"/>
      <c r="Q8" s="182"/>
      <c r="R8" s="27"/>
      <c r="S8" s="18">
        <v>1640</v>
      </c>
      <c r="T8" s="78" t="s">
        <v>128</v>
      </c>
      <c r="U8" s="46">
        <v>0</v>
      </c>
      <c r="V8" s="46">
        <v>0</v>
      </c>
      <c r="X8" s="46"/>
      <c r="Y8" s="377">
        <v>0</v>
      </c>
      <c r="Z8" s="377">
        <v>0</v>
      </c>
    </row>
    <row r="9" spans="1:26" ht="22.5" customHeight="1" x14ac:dyDescent="0.25">
      <c r="A9" s="210"/>
      <c r="B9" s="210"/>
      <c r="C9" s="207"/>
      <c r="D9" s="210"/>
      <c r="E9" s="210"/>
      <c r="F9" s="210"/>
      <c r="G9" s="210">
        <v>3094</v>
      </c>
      <c r="H9" s="210">
        <v>600011235</v>
      </c>
      <c r="I9" s="210"/>
      <c r="J9" s="210">
        <v>11</v>
      </c>
      <c r="K9" s="27"/>
      <c r="L9" s="209">
        <f>L8</f>
        <v>2567</v>
      </c>
      <c r="M9" s="210" t="s">
        <v>468</v>
      </c>
      <c r="N9" s="210" t="s">
        <v>565</v>
      </c>
      <c r="O9" s="122"/>
      <c r="P9" s="122"/>
      <c r="Q9" s="182"/>
      <c r="R9" s="27"/>
      <c r="S9" s="162">
        <v>1650</v>
      </c>
      <c r="T9" s="293" t="s">
        <v>9</v>
      </c>
      <c r="U9" s="46">
        <v>1992159.2479999999</v>
      </c>
      <c r="V9" s="46">
        <v>927182.5</v>
      </c>
      <c r="X9" s="46"/>
      <c r="Y9" s="377">
        <v>927182.5</v>
      </c>
      <c r="Z9" s="377">
        <v>1992159.2479999999</v>
      </c>
    </row>
    <row r="10" spans="1:26" ht="22.5" customHeight="1" x14ac:dyDescent="0.25">
      <c r="A10" s="210"/>
      <c r="B10" s="210">
        <v>1640</v>
      </c>
      <c r="C10" s="211" t="s">
        <v>128</v>
      </c>
      <c r="D10" s="209">
        <f>U8</f>
        <v>0</v>
      </c>
      <c r="E10" s="209">
        <f>V8</f>
        <v>0</v>
      </c>
      <c r="F10" s="210"/>
      <c r="G10" s="210">
        <v>3094</v>
      </c>
      <c r="H10" s="210">
        <v>164016100</v>
      </c>
      <c r="I10" s="210"/>
      <c r="J10" s="210">
        <v>11</v>
      </c>
      <c r="K10" s="27"/>
      <c r="L10" s="209">
        <f>(D10+E10-K10)/12</f>
        <v>0</v>
      </c>
      <c r="M10" s="210" t="s">
        <v>467</v>
      </c>
      <c r="N10" s="210" t="s">
        <v>565</v>
      </c>
      <c r="O10" s="122"/>
      <c r="P10" s="122"/>
      <c r="Q10" s="182"/>
      <c r="R10" s="27"/>
      <c r="T10" s="38"/>
      <c r="X10" s="46"/>
      <c r="Y10" s="46"/>
    </row>
    <row r="11" spans="1:26" ht="22.5" customHeight="1" x14ac:dyDescent="0.25">
      <c r="A11" s="210"/>
      <c r="B11" s="210"/>
      <c r="C11" s="207"/>
      <c r="D11" s="210"/>
      <c r="E11" s="210"/>
      <c r="F11" s="210"/>
      <c r="G11" s="210">
        <v>3094</v>
      </c>
      <c r="H11" s="210">
        <v>600011235</v>
      </c>
      <c r="I11" s="210"/>
      <c r="J11" s="210">
        <v>11</v>
      </c>
      <c r="K11" s="27"/>
      <c r="L11" s="209">
        <f>L10</f>
        <v>0</v>
      </c>
      <c r="M11" s="210" t="s">
        <v>468</v>
      </c>
      <c r="N11" s="210" t="s">
        <v>565</v>
      </c>
      <c r="O11" s="122"/>
      <c r="P11" s="122"/>
      <c r="Q11" s="182"/>
      <c r="R11" s="27"/>
      <c r="X11" s="46"/>
      <c r="Y11" s="46"/>
    </row>
    <row r="12" spans="1:26" ht="22.5" customHeight="1" x14ac:dyDescent="0.25">
      <c r="A12" s="210"/>
      <c r="B12" s="214">
        <v>1650</v>
      </c>
      <c r="C12" s="211" t="s">
        <v>9</v>
      </c>
      <c r="D12" s="215">
        <f>U9+U10</f>
        <v>1992159.2479999999</v>
      </c>
      <c r="E12" s="215">
        <f>V9+V10</f>
        <v>927182.5</v>
      </c>
      <c r="F12" s="214"/>
      <c r="G12" s="214">
        <v>3094</v>
      </c>
      <c r="H12" s="214">
        <v>165000001</v>
      </c>
      <c r="I12" s="214"/>
      <c r="J12" s="214">
        <v>11</v>
      </c>
      <c r="K12" s="27"/>
      <c r="L12" s="209">
        <f>(D12+E12-K12)/12</f>
        <v>243278.47899999996</v>
      </c>
      <c r="M12" s="214" t="s">
        <v>467</v>
      </c>
      <c r="N12" s="210" t="s">
        <v>565</v>
      </c>
      <c r="O12" s="122"/>
      <c r="P12" s="122"/>
      <c r="Q12" s="182"/>
      <c r="R12" s="27"/>
      <c r="X12" s="46"/>
      <c r="Y12" s="46"/>
    </row>
    <row r="13" spans="1:26" ht="22.5" customHeight="1" x14ac:dyDescent="0.25">
      <c r="A13" s="210"/>
      <c r="B13" s="214"/>
      <c r="C13" s="211"/>
      <c r="D13" s="214"/>
      <c r="E13" s="214"/>
      <c r="F13" s="214"/>
      <c r="G13" s="214">
        <v>3094</v>
      </c>
      <c r="H13" s="210">
        <v>600011235</v>
      </c>
      <c r="I13" s="214"/>
      <c r="J13" s="214">
        <v>11</v>
      </c>
      <c r="K13" s="27"/>
      <c r="L13" s="215">
        <f>L12</f>
        <v>243278.47899999996</v>
      </c>
      <c r="M13" s="214" t="s">
        <v>468</v>
      </c>
      <c r="N13" s="210" t="s">
        <v>565</v>
      </c>
      <c r="O13" s="122"/>
      <c r="P13" s="122"/>
      <c r="Q13" s="182"/>
      <c r="R13" s="27"/>
    </row>
    <row r="14" spans="1:26" ht="22.5" customHeight="1" x14ac:dyDescent="0.25">
      <c r="A14" s="356"/>
      <c r="B14" s="356"/>
      <c r="C14" s="356"/>
      <c r="D14" s="356"/>
      <c r="E14" s="356"/>
      <c r="F14" s="356"/>
      <c r="G14" s="356"/>
      <c r="H14" s="356"/>
      <c r="I14" s="356"/>
      <c r="J14" s="356"/>
      <c r="K14" s="357"/>
      <c r="L14" s="358"/>
      <c r="M14" s="356"/>
      <c r="N14" s="356"/>
      <c r="O14" s="122"/>
      <c r="P14" s="122"/>
      <c r="Q14" s="182"/>
      <c r="R14" s="27"/>
    </row>
    <row r="15" spans="1:26" ht="22.5" customHeight="1" x14ac:dyDescent="0.25">
      <c r="A15" s="207"/>
      <c r="K15" s="27"/>
      <c r="O15" s="122"/>
      <c r="P15" s="122"/>
      <c r="Q15" s="182"/>
      <c r="R15" s="27"/>
      <c r="T15">
        <v>2020</v>
      </c>
      <c r="U15" t="s">
        <v>298</v>
      </c>
      <c r="V15" t="s">
        <v>106</v>
      </c>
      <c r="X15" s="46"/>
      <c r="Y15" s="376" t="s">
        <v>358</v>
      </c>
      <c r="Z15" s="376" t="s">
        <v>357</v>
      </c>
    </row>
    <row r="16" spans="1:26" ht="22.5" customHeight="1" x14ac:dyDescent="0.25">
      <c r="A16" s="210" t="s">
        <v>322</v>
      </c>
      <c r="B16" s="210">
        <v>2180</v>
      </c>
      <c r="C16" s="208" t="s">
        <v>147</v>
      </c>
      <c r="D16" s="209">
        <f>U16</f>
        <v>923054.58699999994</v>
      </c>
      <c r="E16" s="212">
        <f>V16</f>
        <v>110443.33333333333</v>
      </c>
      <c r="F16" s="210"/>
      <c r="G16" s="210">
        <v>3094</v>
      </c>
      <c r="H16" s="214">
        <v>218000101</v>
      </c>
      <c r="I16" s="210"/>
      <c r="J16" s="210">
        <v>11</v>
      </c>
      <c r="K16" s="27"/>
      <c r="L16" s="209">
        <f>(D16-K16)/12</f>
        <v>76921.215583333324</v>
      </c>
      <c r="M16" s="210" t="s">
        <v>467</v>
      </c>
      <c r="N16" s="210" t="s">
        <v>566</v>
      </c>
      <c r="O16" s="122"/>
      <c r="P16" s="122"/>
      <c r="Q16" s="182"/>
      <c r="R16" s="27"/>
      <c r="S16" s="18">
        <v>2180</v>
      </c>
      <c r="T16" s="78" t="s">
        <v>147</v>
      </c>
      <c r="U16" s="46">
        <v>923054.58699999994</v>
      </c>
      <c r="V16" s="46">
        <v>110443.33333333333</v>
      </c>
      <c r="X16" s="46"/>
      <c r="Y16" s="378">
        <v>110443.33333333333</v>
      </c>
      <c r="Z16" s="378">
        <v>923054.58699999994</v>
      </c>
    </row>
    <row r="17" spans="1:26" ht="22.5" customHeight="1" x14ac:dyDescent="0.25">
      <c r="B17" s="210"/>
      <c r="C17" s="211"/>
      <c r="D17" s="209"/>
      <c r="E17" s="212"/>
      <c r="F17" s="210"/>
      <c r="G17" s="210">
        <v>3094</v>
      </c>
      <c r="H17" s="210">
        <v>600011235</v>
      </c>
      <c r="I17" s="210"/>
      <c r="J17" s="210">
        <v>11</v>
      </c>
      <c r="K17" s="27"/>
      <c r="L17" s="209">
        <f>L16</f>
        <v>76921.215583333324</v>
      </c>
      <c r="M17" s="210" t="s">
        <v>468</v>
      </c>
      <c r="N17" s="210" t="s">
        <v>566</v>
      </c>
      <c r="O17" s="122"/>
      <c r="P17" s="122"/>
      <c r="Q17" s="38"/>
      <c r="R17" s="27"/>
      <c r="S17" s="18">
        <v>2193</v>
      </c>
      <c r="T17" s="78" t="s">
        <v>499</v>
      </c>
      <c r="U17" s="46">
        <v>1565886.4140000001</v>
      </c>
      <c r="V17" s="46">
        <v>168248.33333333331</v>
      </c>
      <c r="X17" s="46"/>
      <c r="Y17" s="378">
        <v>168248.33333333331</v>
      </c>
      <c r="Z17" s="378">
        <v>1565886.4140000001</v>
      </c>
    </row>
    <row r="18" spans="1:26" ht="22.5" customHeight="1" x14ac:dyDescent="0.25">
      <c r="B18" s="210">
        <v>2193</v>
      </c>
      <c r="C18" s="208" t="s">
        <v>347</v>
      </c>
      <c r="D18" s="209">
        <f>U17</f>
        <v>1565886.4140000001</v>
      </c>
      <c r="E18" s="212">
        <f>V17</f>
        <v>168248.33333333331</v>
      </c>
      <c r="F18" s="210"/>
      <c r="G18" s="210">
        <v>3094</v>
      </c>
      <c r="H18" s="210">
        <v>219300001</v>
      </c>
      <c r="I18" s="210"/>
      <c r="J18" s="210">
        <v>11</v>
      </c>
      <c r="K18" s="27"/>
      <c r="L18" s="209">
        <f>(D18-K18)/12</f>
        <v>130490.53450000001</v>
      </c>
      <c r="M18" s="210" t="s">
        <v>467</v>
      </c>
      <c r="N18" s="210" t="s">
        <v>566</v>
      </c>
      <c r="O18" s="122"/>
      <c r="P18" s="122"/>
      <c r="Q18" s="182"/>
      <c r="R18" s="27"/>
      <c r="S18">
        <v>2200</v>
      </c>
      <c r="T18" s="78" t="s">
        <v>898</v>
      </c>
      <c r="U18" s="15">
        <v>19175.212499999998</v>
      </c>
      <c r="V18">
        <v>2950</v>
      </c>
      <c r="Y18" s="373">
        <v>2950</v>
      </c>
      <c r="Z18" s="374">
        <v>19175.212499999998</v>
      </c>
    </row>
    <row r="19" spans="1:26" ht="22.5" customHeight="1" x14ac:dyDescent="0.25">
      <c r="B19" s="210"/>
      <c r="C19" s="207"/>
      <c r="D19" s="210"/>
      <c r="E19" s="213"/>
      <c r="F19" s="210"/>
      <c r="G19" s="210">
        <v>3094</v>
      </c>
      <c r="H19" s="210">
        <v>600011235</v>
      </c>
      <c r="I19" s="210"/>
      <c r="J19" s="210">
        <v>11</v>
      </c>
      <c r="K19" s="27"/>
      <c r="L19" s="209">
        <f>L18</f>
        <v>130490.53450000001</v>
      </c>
      <c r="M19" s="210" t="s">
        <v>468</v>
      </c>
      <c r="N19" s="210" t="s">
        <v>566</v>
      </c>
      <c r="O19" s="122"/>
      <c r="P19" s="122"/>
      <c r="Q19" s="182"/>
      <c r="R19" s="27"/>
      <c r="S19" s="18">
        <v>2300</v>
      </c>
      <c r="T19" s="78" t="s">
        <v>152</v>
      </c>
      <c r="U19" s="46">
        <v>0</v>
      </c>
      <c r="V19" s="46">
        <v>0</v>
      </c>
      <c r="X19" s="46"/>
      <c r="Y19" s="378">
        <v>0</v>
      </c>
      <c r="Z19" s="378">
        <v>0</v>
      </c>
    </row>
    <row r="20" spans="1:26" ht="22.5" customHeight="1" x14ac:dyDescent="0.25">
      <c r="B20" s="210">
        <v>2200</v>
      </c>
      <c r="C20" s="208" t="s">
        <v>898</v>
      </c>
      <c r="D20" s="395">
        <f>U18</f>
        <v>19175.212499999998</v>
      </c>
      <c r="E20" s="210">
        <f>V18</f>
        <v>2950</v>
      </c>
      <c r="F20" s="210"/>
      <c r="G20" s="210">
        <v>3094</v>
      </c>
      <c r="H20" s="210">
        <v>220000100</v>
      </c>
      <c r="I20" s="210"/>
      <c r="J20" s="210">
        <v>11</v>
      </c>
      <c r="K20" s="210"/>
      <c r="L20" s="395">
        <f>(D20-K20)/12</f>
        <v>1597.9343749999998</v>
      </c>
      <c r="M20" s="210" t="s">
        <v>467</v>
      </c>
      <c r="N20" s="210" t="s">
        <v>566</v>
      </c>
      <c r="O20" s="122"/>
      <c r="P20" s="122"/>
      <c r="Q20" s="182"/>
      <c r="R20" s="27"/>
      <c r="S20" s="359">
        <v>2750</v>
      </c>
      <c r="T20" s="78" t="s">
        <v>160</v>
      </c>
      <c r="U20" s="46">
        <v>311089.5</v>
      </c>
      <c r="V20" s="46">
        <v>90937.5</v>
      </c>
      <c r="X20" s="46"/>
      <c r="Y20" s="378">
        <v>90937.5</v>
      </c>
      <c r="Z20" s="378">
        <v>311089.5</v>
      </c>
    </row>
    <row r="21" spans="1:26" ht="22.5" customHeight="1" x14ac:dyDescent="0.25">
      <c r="B21" s="210"/>
      <c r="C21" s="210"/>
      <c r="D21" s="210"/>
      <c r="E21" s="210"/>
      <c r="F21" s="210"/>
      <c r="G21" s="210">
        <v>3094</v>
      </c>
      <c r="H21" s="210">
        <v>600011235</v>
      </c>
      <c r="I21" s="210"/>
      <c r="J21" s="210">
        <v>11</v>
      </c>
      <c r="K21" s="210"/>
      <c r="L21" s="395">
        <f>L20</f>
        <v>1597.9343749999998</v>
      </c>
      <c r="M21" s="210" t="s">
        <v>468</v>
      </c>
      <c r="N21" s="210" t="s">
        <v>566</v>
      </c>
      <c r="O21" s="122"/>
      <c r="P21" s="122"/>
      <c r="Q21" s="182"/>
      <c r="R21" s="27"/>
      <c r="X21" s="46"/>
      <c r="Y21" s="46"/>
      <c r="Z21" s="15"/>
    </row>
    <row r="22" spans="1:26" ht="22.5" customHeight="1" x14ac:dyDescent="0.25">
      <c r="A22" s="210"/>
      <c r="B22" s="210">
        <v>2300</v>
      </c>
      <c r="C22" s="208" t="s">
        <v>759</v>
      </c>
      <c r="D22" s="215">
        <f>U19</f>
        <v>0</v>
      </c>
      <c r="E22" s="216">
        <f>V19</f>
        <v>0</v>
      </c>
      <c r="F22" s="210"/>
      <c r="G22" s="210">
        <v>3094</v>
      </c>
      <c r="H22" s="210">
        <v>234000100</v>
      </c>
      <c r="I22" s="210"/>
      <c r="J22" s="210">
        <v>11</v>
      </c>
      <c r="K22" s="27"/>
      <c r="L22" s="209">
        <f>(D22-K22)/12</f>
        <v>0</v>
      </c>
      <c r="M22" s="210" t="s">
        <v>467</v>
      </c>
      <c r="N22" s="210" t="s">
        <v>566</v>
      </c>
      <c r="O22" s="122"/>
      <c r="P22" s="122"/>
      <c r="Q22" s="182"/>
      <c r="R22" s="27"/>
      <c r="S22" s="162"/>
      <c r="T22" s="78"/>
      <c r="U22" s="15"/>
      <c r="V22" s="15"/>
      <c r="X22" s="46"/>
      <c r="Y22" s="46"/>
      <c r="Z22" s="15"/>
    </row>
    <row r="23" spans="1:26" ht="22.5" customHeight="1" x14ac:dyDescent="0.25">
      <c r="A23" s="210"/>
      <c r="B23" s="210"/>
      <c r="C23" s="207"/>
      <c r="D23" s="210"/>
      <c r="E23" s="213"/>
      <c r="F23" s="210"/>
      <c r="G23" s="210">
        <v>3094</v>
      </c>
      <c r="H23" s="210">
        <v>600011235</v>
      </c>
      <c r="I23" s="210"/>
      <c r="J23" s="210">
        <v>11</v>
      </c>
      <c r="K23" s="27"/>
      <c r="L23" s="209">
        <f>L22</f>
        <v>0</v>
      </c>
      <c r="M23" s="210" t="s">
        <v>468</v>
      </c>
      <c r="N23" s="210" t="s">
        <v>566</v>
      </c>
      <c r="O23" s="122"/>
      <c r="P23" s="122"/>
      <c r="Q23" s="182"/>
      <c r="R23" s="27"/>
      <c r="Z23" s="15"/>
    </row>
    <row r="24" spans="1:26" ht="22.5" customHeight="1" x14ac:dyDescent="0.25">
      <c r="A24" s="210"/>
      <c r="B24" s="396">
        <v>2650</v>
      </c>
      <c r="C24" s="208" t="s">
        <v>160</v>
      </c>
      <c r="D24" s="209">
        <f>U20</f>
        <v>311089.5</v>
      </c>
      <c r="E24" s="212">
        <f>V20</f>
        <v>90937.5</v>
      </c>
      <c r="F24" s="210"/>
      <c r="G24" s="210">
        <v>3094</v>
      </c>
      <c r="H24" s="396">
        <v>265000100</v>
      </c>
      <c r="I24" s="210"/>
      <c r="J24" s="210">
        <v>11</v>
      </c>
      <c r="K24" s="27"/>
      <c r="L24" s="209">
        <f>(D24-K24)/12</f>
        <v>25924.125</v>
      </c>
      <c r="M24" s="210" t="s">
        <v>467</v>
      </c>
      <c r="N24" s="210" t="s">
        <v>566</v>
      </c>
      <c r="O24" s="122"/>
      <c r="P24" s="122"/>
      <c r="Q24" s="182"/>
      <c r="R24" s="27"/>
      <c r="Z24" s="15"/>
    </row>
    <row r="25" spans="1:26" ht="22.5" customHeight="1" x14ac:dyDescent="0.25">
      <c r="A25" s="210"/>
      <c r="B25" s="210"/>
      <c r="C25" s="207"/>
      <c r="D25" s="210"/>
      <c r="E25" s="213"/>
      <c r="F25" s="210"/>
      <c r="G25" s="210">
        <v>3094</v>
      </c>
      <c r="H25" s="210">
        <v>600011235</v>
      </c>
      <c r="I25" s="210"/>
      <c r="J25" s="210">
        <v>11</v>
      </c>
      <c r="K25" s="27"/>
      <c r="L25" s="209">
        <f>L24</f>
        <v>25924.125</v>
      </c>
      <c r="M25" s="210" t="s">
        <v>468</v>
      </c>
      <c r="N25" s="210" t="s">
        <v>566</v>
      </c>
      <c r="O25" s="122"/>
      <c r="P25" s="122"/>
      <c r="Q25" s="182"/>
      <c r="R25" s="27"/>
      <c r="Z25" s="15"/>
    </row>
    <row r="26" spans="1:26" ht="22.5" customHeight="1" x14ac:dyDescent="0.25">
      <c r="A26" s="207"/>
      <c r="B26" s="207">
        <v>2000</v>
      </c>
      <c r="C26" s="211" t="s">
        <v>366</v>
      </c>
      <c r="D26" s="207"/>
      <c r="E26" s="217">
        <f>SUM(E16:E25)</f>
        <v>372579.16666666663</v>
      </c>
      <c r="F26" s="207"/>
      <c r="G26" s="207">
        <v>3094</v>
      </c>
      <c r="H26" s="207">
        <v>200000001</v>
      </c>
      <c r="I26" s="207"/>
      <c r="J26" s="210">
        <v>11</v>
      </c>
      <c r="K26" s="27"/>
      <c r="L26" s="209">
        <f>(E26-K26)/12</f>
        <v>31048.263888888887</v>
      </c>
      <c r="M26" s="210" t="s">
        <v>467</v>
      </c>
      <c r="N26" s="207" t="s">
        <v>567</v>
      </c>
      <c r="O26" s="122"/>
      <c r="P26" s="122"/>
      <c r="Q26" s="182"/>
      <c r="R26" s="27"/>
      <c r="Z26" s="15"/>
    </row>
    <row r="27" spans="1:26" ht="22.5" customHeight="1" x14ac:dyDescent="0.25">
      <c r="G27" s="236">
        <v>3094</v>
      </c>
      <c r="H27" s="210">
        <v>600011235</v>
      </c>
      <c r="J27" s="210">
        <v>11</v>
      </c>
      <c r="K27" s="27"/>
      <c r="L27" s="209">
        <f>L26</f>
        <v>31048.263888888887</v>
      </c>
      <c r="M27" s="210" t="s">
        <v>468</v>
      </c>
      <c r="N27" s="207" t="s">
        <v>567</v>
      </c>
      <c r="O27" s="122"/>
      <c r="P27" s="122"/>
      <c r="Q27" s="182"/>
      <c r="R27" s="27"/>
    </row>
    <row r="28" spans="1:26" ht="22.5" customHeight="1" x14ac:dyDescent="0.25">
      <c r="A28" s="356"/>
      <c r="B28" s="356"/>
      <c r="C28" s="360"/>
      <c r="D28" s="356"/>
      <c r="E28" s="361"/>
      <c r="F28" s="356"/>
      <c r="G28" s="356"/>
      <c r="H28" s="356"/>
      <c r="I28" s="356"/>
      <c r="J28" s="356"/>
      <c r="K28" s="357"/>
      <c r="L28" s="362"/>
      <c r="M28" s="356"/>
      <c r="N28" s="356"/>
      <c r="O28" s="122"/>
      <c r="P28" s="122"/>
      <c r="Q28" s="182"/>
      <c r="R28" s="27"/>
      <c r="T28">
        <v>2020</v>
      </c>
      <c r="U28" t="s">
        <v>298</v>
      </c>
      <c r="V28" t="s">
        <v>106</v>
      </c>
      <c r="X28" s="46"/>
      <c r="Y28" s="46" t="s">
        <v>358</v>
      </c>
      <c r="Z28" t="s">
        <v>357</v>
      </c>
    </row>
    <row r="29" spans="1:26" ht="22.5" customHeight="1" x14ac:dyDescent="0.25">
      <c r="A29" s="207"/>
      <c r="K29" s="27"/>
      <c r="O29" s="122"/>
      <c r="P29" s="122"/>
      <c r="Q29" s="182"/>
      <c r="R29" s="27"/>
      <c r="S29" s="61">
        <v>3306</v>
      </c>
      <c r="T29" s="345" t="s">
        <v>813</v>
      </c>
      <c r="U29" s="46">
        <v>0</v>
      </c>
      <c r="V29" s="46">
        <v>0</v>
      </c>
      <c r="X29" s="46"/>
      <c r="Y29" s="377">
        <v>0</v>
      </c>
      <c r="Z29" s="374">
        <v>0</v>
      </c>
    </row>
    <row r="30" spans="1:26" ht="22.5" customHeight="1" x14ac:dyDescent="0.25">
      <c r="A30" s="207" t="s">
        <v>324</v>
      </c>
      <c r="B30" s="210">
        <v>3306</v>
      </c>
      <c r="C30" s="208" t="s">
        <v>197</v>
      </c>
      <c r="D30" s="218">
        <f>U29</f>
        <v>0</v>
      </c>
      <c r="E30" s="218">
        <f>V29</f>
        <v>0</v>
      </c>
      <c r="F30" s="207"/>
      <c r="G30" s="236">
        <v>3094</v>
      </c>
      <c r="H30" s="236">
        <v>330600100</v>
      </c>
      <c r="I30" s="236"/>
      <c r="J30" s="236">
        <v>11</v>
      </c>
      <c r="K30" s="27"/>
      <c r="L30" s="209">
        <f>(D30+E30-K30)/12</f>
        <v>0</v>
      </c>
      <c r="M30" s="210" t="s">
        <v>467</v>
      </c>
      <c r="N30" s="210" t="s">
        <v>565</v>
      </c>
      <c r="O30" s="122"/>
      <c r="P30" s="122"/>
      <c r="Q30" s="182"/>
      <c r="R30" s="27"/>
      <c r="S30">
        <v>3850</v>
      </c>
      <c r="T30" s="78" t="s">
        <v>470</v>
      </c>
      <c r="U30" s="46">
        <v>0</v>
      </c>
      <c r="V30" s="46">
        <v>0</v>
      </c>
      <c r="X30" s="46"/>
      <c r="Y30" s="377">
        <v>0</v>
      </c>
      <c r="Z30" s="374">
        <v>0</v>
      </c>
    </row>
    <row r="31" spans="1:26" ht="22.5" customHeight="1" x14ac:dyDescent="0.25">
      <c r="B31" s="210"/>
      <c r="C31" s="208"/>
      <c r="G31" s="236">
        <v>3094</v>
      </c>
      <c r="H31" s="210">
        <v>600011235</v>
      </c>
      <c r="J31" s="236">
        <v>11</v>
      </c>
      <c r="K31" s="27"/>
      <c r="L31" s="218">
        <f>L30</f>
        <v>0</v>
      </c>
      <c r="M31" s="210" t="s">
        <v>468</v>
      </c>
      <c r="N31" s="210" t="s">
        <v>565</v>
      </c>
      <c r="O31" s="122"/>
      <c r="P31" s="122"/>
      <c r="Q31" s="182"/>
      <c r="R31" s="27"/>
      <c r="X31" s="46"/>
      <c r="Y31" s="46"/>
      <c r="Z31" s="15"/>
    </row>
    <row r="32" spans="1:26" ht="22.5" customHeight="1" x14ac:dyDescent="0.25">
      <c r="B32" s="210">
        <v>3850</v>
      </c>
      <c r="C32" s="208" t="s">
        <v>470</v>
      </c>
      <c r="D32" s="218">
        <f>U30</f>
        <v>0</v>
      </c>
      <c r="E32" s="218">
        <f>V30</f>
        <v>0</v>
      </c>
      <c r="G32" s="236">
        <v>3094</v>
      </c>
      <c r="H32" s="214">
        <v>385000002</v>
      </c>
      <c r="J32" s="236">
        <v>11</v>
      </c>
      <c r="K32" s="27"/>
      <c r="L32" s="209">
        <f>(D32+E32-K32)/12</f>
        <v>0</v>
      </c>
      <c r="M32" s="210" t="s">
        <v>467</v>
      </c>
      <c r="N32" s="210" t="s">
        <v>565</v>
      </c>
      <c r="O32" s="122"/>
      <c r="P32" s="122"/>
      <c r="Q32" s="182"/>
      <c r="R32" s="27"/>
      <c r="X32" s="46"/>
      <c r="Y32" s="46"/>
      <c r="Z32" s="15"/>
    </row>
    <row r="33" spans="1:26" ht="22.5" customHeight="1" x14ac:dyDescent="0.25">
      <c r="G33" s="236">
        <v>3094</v>
      </c>
      <c r="H33" s="210">
        <v>600011235</v>
      </c>
      <c r="J33" s="236">
        <v>11</v>
      </c>
      <c r="K33" s="27"/>
      <c r="L33" s="218">
        <f>L32</f>
        <v>0</v>
      </c>
      <c r="M33" s="210" t="s">
        <v>468</v>
      </c>
      <c r="N33" s="210" t="s">
        <v>565</v>
      </c>
      <c r="O33" s="122"/>
      <c r="P33" s="122"/>
      <c r="Q33" s="182"/>
      <c r="R33" s="27"/>
      <c r="X33" s="46"/>
      <c r="Y33" s="46"/>
    </row>
    <row r="34" spans="1:26" ht="22.5" customHeight="1" x14ac:dyDescent="0.25">
      <c r="A34" s="356"/>
      <c r="B34" s="356"/>
      <c r="C34" s="363"/>
      <c r="D34" s="362"/>
      <c r="E34" s="362"/>
      <c r="F34" s="356"/>
      <c r="G34" s="364"/>
      <c r="H34" s="364"/>
      <c r="I34" s="364"/>
      <c r="J34" s="364"/>
      <c r="K34" s="357"/>
      <c r="L34" s="362"/>
      <c r="M34" s="356"/>
      <c r="N34" s="356"/>
      <c r="O34" s="122"/>
      <c r="P34" s="122"/>
      <c r="Q34" s="182"/>
      <c r="R34" s="27"/>
      <c r="S34" s="122"/>
      <c r="T34">
        <v>2020</v>
      </c>
      <c r="U34" t="s">
        <v>298</v>
      </c>
      <c r="V34" t="s">
        <v>106</v>
      </c>
      <c r="X34" s="46"/>
      <c r="Y34" s="46" t="s">
        <v>358</v>
      </c>
      <c r="Z34" t="s">
        <v>357</v>
      </c>
    </row>
    <row r="35" spans="1:26" ht="22.5" customHeight="1" x14ac:dyDescent="0.25">
      <c r="K35" s="27"/>
      <c r="O35" s="122"/>
      <c r="P35" s="122"/>
      <c r="Q35" s="182"/>
      <c r="R35" s="27"/>
      <c r="S35">
        <v>5100</v>
      </c>
      <c r="T35" s="78" t="s">
        <v>119</v>
      </c>
      <c r="U35" s="46">
        <v>0</v>
      </c>
      <c r="V35" s="46">
        <v>0</v>
      </c>
      <c r="X35" s="46"/>
      <c r="Y35" s="377">
        <v>0</v>
      </c>
      <c r="Z35" s="374">
        <v>0</v>
      </c>
    </row>
    <row r="36" spans="1:26" ht="22.5" customHeight="1" x14ac:dyDescent="0.25">
      <c r="A36" s="210" t="s">
        <v>367</v>
      </c>
      <c r="B36" s="210">
        <v>5100</v>
      </c>
      <c r="C36" s="78" t="s">
        <v>119</v>
      </c>
      <c r="D36" s="218">
        <f>U35</f>
        <v>0</v>
      </c>
      <c r="E36" s="218">
        <f>V35</f>
        <v>0</v>
      </c>
      <c r="G36" s="236">
        <v>3094</v>
      </c>
      <c r="H36" s="236">
        <v>510010100</v>
      </c>
      <c r="J36" s="236">
        <v>11</v>
      </c>
      <c r="K36" s="27"/>
      <c r="L36" s="209">
        <f>(D36+E36-K36)/12</f>
        <v>0</v>
      </c>
      <c r="M36" s="210" t="s">
        <v>467</v>
      </c>
      <c r="N36" s="210" t="s">
        <v>565</v>
      </c>
      <c r="O36" s="122"/>
      <c r="P36" s="122"/>
      <c r="Q36" s="182"/>
      <c r="R36" s="27"/>
      <c r="S36">
        <v>5400</v>
      </c>
      <c r="T36" s="78" t="s">
        <v>263</v>
      </c>
      <c r="U36" s="46">
        <v>0</v>
      </c>
      <c r="V36" s="46">
        <v>0</v>
      </c>
      <c r="X36" s="46"/>
      <c r="Y36" s="377">
        <v>0</v>
      </c>
      <c r="Z36" s="374">
        <v>0</v>
      </c>
    </row>
    <row r="37" spans="1:26" ht="22.5" customHeight="1" x14ac:dyDescent="0.25">
      <c r="D37" s="218"/>
      <c r="G37" s="236">
        <v>3094</v>
      </c>
      <c r="H37" s="236">
        <v>600011235</v>
      </c>
      <c r="J37" s="236">
        <v>11</v>
      </c>
      <c r="K37" s="27"/>
      <c r="L37" s="218">
        <f>L36</f>
        <v>0</v>
      </c>
      <c r="M37" s="210" t="s">
        <v>468</v>
      </c>
      <c r="N37" s="210" t="s">
        <v>565</v>
      </c>
      <c r="O37" s="122"/>
      <c r="P37" s="122"/>
      <c r="Q37" s="182"/>
      <c r="R37" s="27"/>
      <c r="S37">
        <v>5410</v>
      </c>
      <c r="T37" s="78" t="s">
        <v>497</v>
      </c>
      <c r="U37" s="46">
        <v>0</v>
      </c>
      <c r="V37" s="46">
        <v>0</v>
      </c>
      <c r="X37" s="46"/>
      <c r="Y37" s="377">
        <v>0</v>
      </c>
      <c r="Z37" s="374">
        <v>0</v>
      </c>
    </row>
    <row r="38" spans="1:26" ht="22.5" customHeight="1" x14ac:dyDescent="0.25">
      <c r="B38" s="210">
        <v>5400</v>
      </c>
      <c r="C38" s="345" t="s">
        <v>761</v>
      </c>
      <c r="D38" s="218">
        <f>U36</f>
        <v>0</v>
      </c>
      <c r="E38" s="218">
        <f>V36</f>
        <v>0</v>
      </c>
      <c r="G38" s="236">
        <v>3094</v>
      </c>
      <c r="H38" s="236">
        <v>540000100</v>
      </c>
      <c r="J38" s="236">
        <v>11</v>
      </c>
      <c r="K38" s="27"/>
      <c r="L38" s="209">
        <f>(D38+E38-K38)/12</f>
        <v>0</v>
      </c>
      <c r="M38" s="236" t="s">
        <v>467</v>
      </c>
      <c r="N38" s="210" t="s">
        <v>565</v>
      </c>
      <c r="O38" s="122"/>
      <c r="P38" s="122"/>
      <c r="Q38" s="182"/>
      <c r="R38" s="27"/>
      <c r="S38">
        <v>5500</v>
      </c>
      <c r="T38" s="78" t="s">
        <v>120</v>
      </c>
      <c r="U38" s="46">
        <v>0</v>
      </c>
      <c r="V38" s="46">
        <v>0</v>
      </c>
      <c r="X38" s="46"/>
      <c r="Y38" s="377">
        <v>0</v>
      </c>
      <c r="Z38" s="374">
        <v>0</v>
      </c>
    </row>
    <row r="39" spans="1:26" ht="22.5" customHeight="1" x14ac:dyDescent="0.25">
      <c r="B39" s="210"/>
      <c r="C39" s="78"/>
      <c r="D39" s="218"/>
      <c r="E39" s="218"/>
      <c r="G39" s="236">
        <v>3094</v>
      </c>
      <c r="H39" s="236">
        <v>600011235</v>
      </c>
      <c r="J39" s="236">
        <v>11</v>
      </c>
      <c r="K39" s="27"/>
      <c r="L39" s="218">
        <f>L38</f>
        <v>0</v>
      </c>
      <c r="M39" s="236" t="s">
        <v>468</v>
      </c>
      <c r="N39" s="210" t="s">
        <v>565</v>
      </c>
      <c r="O39" s="122"/>
      <c r="P39" s="122"/>
      <c r="Q39" s="251"/>
      <c r="R39" s="27"/>
      <c r="S39">
        <v>5730</v>
      </c>
      <c r="T39" s="78" t="s">
        <v>121</v>
      </c>
      <c r="U39" s="46">
        <v>6916.875</v>
      </c>
      <c r="V39" s="46">
        <v>2775</v>
      </c>
      <c r="X39" s="46"/>
      <c r="Y39" s="377">
        <v>2775</v>
      </c>
      <c r="Z39" s="374">
        <v>6916.875</v>
      </c>
    </row>
    <row r="40" spans="1:26" ht="22.5" customHeight="1" x14ac:dyDescent="0.25">
      <c r="B40" s="210">
        <v>5410</v>
      </c>
      <c r="C40" s="345" t="s">
        <v>497</v>
      </c>
      <c r="D40" s="218">
        <f>U37</f>
        <v>0</v>
      </c>
      <c r="E40" s="218">
        <f>V37</f>
        <v>0</v>
      </c>
      <c r="G40" s="236">
        <v>3094</v>
      </c>
      <c r="H40" s="236">
        <v>541000100</v>
      </c>
      <c r="J40" s="236">
        <v>11</v>
      </c>
      <c r="K40" s="27"/>
      <c r="L40" s="209">
        <f>(D40+E40-K40)/12</f>
        <v>0</v>
      </c>
      <c r="M40" s="210" t="s">
        <v>467</v>
      </c>
      <c r="N40" s="210" t="s">
        <v>565</v>
      </c>
      <c r="O40" s="122"/>
      <c r="P40" s="122"/>
      <c r="Q40" s="122"/>
      <c r="R40" s="27"/>
      <c r="S40">
        <v>5740</v>
      </c>
      <c r="T40" s="78" t="s">
        <v>365</v>
      </c>
      <c r="U40" s="46">
        <v>1112823.7110000001</v>
      </c>
      <c r="V40" s="46">
        <v>174580</v>
      </c>
      <c r="X40" s="46"/>
      <c r="Y40" s="377">
        <v>174580</v>
      </c>
      <c r="Z40" s="374">
        <v>1112823.7110000001</v>
      </c>
    </row>
    <row r="41" spans="1:26" ht="22.5" customHeight="1" x14ac:dyDescent="0.25">
      <c r="B41" s="210"/>
      <c r="C41" s="78"/>
      <c r="D41" s="218"/>
      <c r="E41" s="218"/>
      <c r="G41" s="236">
        <v>3094</v>
      </c>
      <c r="H41" s="236">
        <v>600011235</v>
      </c>
      <c r="J41" s="236">
        <v>11</v>
      </c>
      <c r="K41" s="27"/>
      <c r="L41" s="218">
        <f>L40</f>
        <v>0</v>
      </c>
      <c r="M41" s="210" t="s">
        <v>468</v>
      </c>
      <c r="N41" s="210" t="s">
        <v>565</v>
      </c>
      <c r="O41" s="122"/>
      <c r="P41" s="122"/>
      <c r="Q41" s="122"/>
      <c r="R41" s="27"/>
      <c r="T41" s="78"/>
      <c r="U41" s="122"/>
      <c r="V41" s="182"/>
      <c r="X41" s="46"/>
      <c r="Y41" s="46"/>
    </row>
    <row r="42" spans="1:26" ht="22.5" customHeight="1" x14ac:dyDescent="0.25">
      <c r="B42" s="210">
        <v>5500</v>
      </c>
      <c r="C42" s="345" t="s">
        <v>760</v>
      </c>
      <c r="D42" s="218">
        <f>U38</f>
        <v>0</v>
      </c>
      <c r="E42" s="218">
        <f>V38</f>
        <v>0</v>
      </c>
      <c r="G42" s="236">
        <v>3094</v>
      </c>
      <c r="H42" s="236">
        <v>550001100</v>
      </c>
      <c r="J42" s="236">
        <v>11</v>
      </c>
      <c r="K42" s="27"/>
      <c r="L42" s="209">
        <f>(D42+E42-K42)/12</f>
        <v>0</v>
      </c>
      <c r="M42" s="236" t="s">
        <v>467</v>
      </c>
      <c r="N42" s="210" t="s">
        <v>565</v>
      </c>
      <c r="O42" s="122"/>
      <c r="P42" s="122"/>
      <c r="Q42" s="122"/>
      <c r="R42" s="27"/>
      <c r="T42" s="78"/>
      <c r="U42" s="122"/>
      <c r="V42" s="182"/>
      <c r="X42" s="46"/>
      <c r="Y42" s="46"/>
    </row>
    <row r="43" spans="1:26" ht="22.5" customHeight="1" x14ac:dyDescent="0.25">
      <c r="B43" s="210"/>
      <c r="C43" s="78"/>
      <c r="D43" s="218"/>
      <c r="E43" s="218"/>
      <c r="G43" s="236">
        <v>3094</v>
      </c>
      <c r="H43" s="236">
        <v>600011235</v>
      </c>
      <c r="J43" s="236">
        <v>11</v>
      </c>
      <c r="K43" s="27"/>
      <c r="L43" s="218">
        <f>L42</f>
        <v>0</v>
      </c>
      <c r="M43" s="236" t="s">
        <v>468</v>
      </c>
      <c r="N43" s="210" t="s">
        <v>565</v>
      </c>
      <c r="O43" s="122"/>
      <c r="P43" s="122"/>
      <c r="Q43" s="122"/>
      <c r="R43" s="27"/>
      <c r="T43" s="78"/>
      <c r="U43" s="122"/>
      <c r="V43" s="182"/>
      <c r="X43" s="46"/>
      <c r="Y43" s="46"/>
      <c r="Z43" s="15"/>
    </row>
    <row r="44" spans="1:26" ht="22.5" customHeight="1" x14ac:dyDescent="0.25">
      <c r="B44" s="210">
        <v>5730</v>
      </c>
      <c r="C44" s="208" t="s">
        <v>121</v>
      </c>
      <c r="D44" s="218">
        <f>U39</f>
        <v>6916.875</v>
      </c>
      <c r="E44" s="218">
        <f>V39</f>
        <v>2775</v>
      </c>
      <c r="G44" s="236">
        <v>3094</v>
      </c>
      <c r="H44" s="236">
        <v>573000111</v>
      </c>
      <c r="J44" s="236">
        <v>11</v>
      </c>
      <c r="K44" s="27"/>
      <c r="L44" s="209">
        <f>(D44+E44-K44)/12</f>
        <v>807.65625</v>
      </c>
      <c r="M44" s="210" t="s">
        <v>467</v>
      </c>
      <c r="N44" s="210" t="s">
        <v>565</v>
      </c>
      <c r="O44" s="122"/>
      <c r="P44" s="122"/>
      <c r="Q44" s="122"/>
      <c r="R44" s="27"/>
      <c r="S44" s="18"/>
      <c r="T44" s="78"/>
      <c r="U44" s="15"/>
      <c r="V44" s="15"/>
      <c r="X44" s="46"/>
      <c r="Y44" s="46"/>
      <c r="Z44" s="15"/>
    </row>
    <row r="45" spans="1:26" ht="22.5" customHeight="1" x14ac:dyDescent="0.25">
      <c r="G45" s="236">
        <v>3094</v>
      </c>
      <c r="H45" s="236">
        <v>600011235</v>
      </c>
      <c r="J45" s="236">
        <v>11</v>
      </c>
      <c r="K45" s="27"/>
      <c r="L45" s="218">
        <f>L44</f>
        <v>807.65625</v>
      </c>
      <c r="M45" s="210" t="s">
        <v>468</v>
      </c>
      <c r="N45" s="210" t="s">
        <v>565</v>
      </c>
      <c r="O45" s="122"/>
      <c r="P45" s="122"/>
      <c r="Q45" s="122"/>
      <c r="S45" s="18"/>
      <c r="T45" s="78"/>
      <c r="U45" s="15"/>
      <c r="V45" s="15"/>
      <c r="X45" s="46"/>
      <c r="Y45" s="46"/>
    </row>
    <row r="46" spans="1:26" ht="22.5" customHeight="1" x14ac:dyDescent="0.25">
      <c r="B46" s="210">
        <v>5740</v>
      </c>
      <c r="C46" s="208" t="s">
        <v>365</v>
      </c>
      <c r="D46" s="218">
        <f>U40</f>
        <v>1112823.7110000001</v>
      </c>
      <c r="E46" s="218">
        <f>V40</f>
        <v>174580</v>
      </c>
      <c r="F46" s="210"/>
      <c r="G46" s="236">
        <v>3094</v>
      </c>
      <c r="H46" s="214">
        <v>574002011</v>
      </c>
      <c r="I46" s="210"/>
      <c r="J46" s="210">
        <v>11</v>
      </c>
      <c r="K46" s="27"/>
      <c r="L46" s="209">
        <f>(D46+E46-K46)/12</f>
        <v>107283.64258333335</v>
      </c>
      <c r="M46" s="210" t="s">
        <v>467</v>
      </c>
      <c r="N46" s="210" t="s">
        <v>565</v>
      </c>
      <c r="O46" s="122"/>
      <c r="P46" s="122"/>
      <c r="Q46" s="122"/>
      <c r="X46" s="46"/>
      <c r="Y46" s="46"/>
    </row>
    <row r="47" spans="1:26" ht="22.5" customHeight="1" x14ac:dyDescent="0.25">
      <c r="B47" s="210"/>
      <c r="C47" s="207"/>
      <c r="D47" s="210"/>
      <c r="E47" s="210"/>
      <c r="F47" s="210"/>
      <c r="G47" s="236">
        <v>3094</v>
      </c>
      <c r="H47" s="210">
        <v>600011235</v>
      </c>
      <c r="I47" s="210"/>
      <c r="J47" s="210">
        <v>11</v>
      </c>
      <c r="K47" s="27"/>
      <c r="L47" s="218">
        <f>L46</f>
        <v>107283.64258333335</v>
      </c>
      <c r="M47" s="210" t="s">
        <v>468</v>
      </c>
      <c r="N47" s="210" t="s">
        <v>565</v>
      </c>
      <c r="O47" s="122"/>
      <c r="P47" s="122"/>
      <c r="Q47" s="122"/>
      <c r="X47" s="46"/>
      <c r="Y47" s="46"/>
    </row>
    <row r="48" spans="1:26" ht="22.5" customHeight="1" x14ac:dyDescent="0.25">
      <c r="A48" s="356"/>
      <c r="B48" s="356"/>
      <c r="C48" s="356"/>
      <c r="D48" s="356"/>
      <c r="E48" s="356"/>
      <c r="F48" s="356"/>
      <c r="G48" s="356"/>
      <c r="H48" s="356"/>
      <c r="I48" s="356"/>
      <c r="J48" s="356"/>
      <c r="K48" s="365"/>
      <c r="L48" s="358"/>
      <c r="M48" s="356"/>
      <c r="N48" s="356"/>
      <c r="O48" s="122"/>
      <c r="P48" s="122"/>
      <c r="Q48" s="122"/>
      <c r="X48" s="46"/>
      <c r="Y48" s="46"/>
    </row>
    <row r="49" spans="3:26" ht="22.5" customHeight="1" x14ac:dyDescent="0.25">
      <c r="D49" s="27">
        <f>SUM(D6:D48)</f>
        <v>6371385.6412500003</v>
      </c>
      <c r="E49" s="27">
        <f>SUM(E6:E24,E30:E32,E36:E46)</f>
        <v>1551376.0416666665</v>
      </c>
      <c r="L49" s="218">
        <f>SUM(L6:L47)/2</f>
        <v>660230.14024305565</v>
      </c>
      <c r="P49" s="122"/>
      <c r="Q49" s="122"/>
      <c r="X49" s="46"/>
      <c r="Y49" s="46"/>
      <c r="Z49" s="15"/>
    </row>
    <row r="50" spans="3:26" ht="22.5" customHeight="1" x14ac:dyDescent="0.25">
      <c r="E50" s="350">
        <f>SUM(D49:E49)</f>
        <v>7922761.6829166673</v>
      </c>
      <c r="P50" s="122"/>
      <c r="Q50" s="122"/>
      <c r="X50" s="46"/>
      <c r="Y50" s="46"/>
      <c r="Z50" s="15"/>
    </row>
    <row r="51" spans="3:26" ht="22.5" customHeight="1" x14ac:dyDescent="0.25">
      <c r="E51" s="27"/>
      <c r="I51" s="366" t="s">
        <v>369</v>
      </c>
      <c r="J51" s="367"/>
      <c r="K51" s="367"/>
      <c r="L51" s="367"/>
      <c r="M51" s="367"/>
      <c r="N51" s="368"/>
      <c r="O51" s="18"/>
      <c r="P51" s="122"/>
      <c r="Q51" s="122"/>
      <c r="X51" s="46"/>
      <c r="Y51" s="46"/>
      <c r="Z51" s="15"/>
    </row>
    <row r="52" spans="3:26" ht="22.5" customHeight="1" x14ac:dyDescent="0.25">
      <c r="I52" s="369"/>
      <c r="J52" s="365"/>
      <c r="K52" s="365"/>
      <c r="L52" s="365"/>
      <c r="M52" s="365"/>
      <c r="N52" s="370"/>
      <c r="O52" s="18"/>
      <c r="P52" s="122"/>
      <c r="Q52" s="122"/>
      <c r="X52" s="46"/>
      <c r="Y52" s="46"/>
      <c r="Z52" s="15"/>
    </row>
    <row r="53" spans="3:26" ht="22.5" customHeight="1" x14ac:dyDescent="0.25">
      <c r="I53" s="371" t="s">
        <v>826</v>
      </c>
      <c r="J53" s="237"/>
      <c r="K53" s="237"/>
      <c r="L53" s="237"/>
      <c r="M53" s="237"/>
      <c r="N53" s="355"/>
      <c r="O53" s="18"/>
      <c r="P53" s="122"/>
      <c r="Q53" s="122"/>
      <c r="X53" s="46"/>
      <c r="Y53" s="46"/>
    </row>
    <row r="54" spans="3:26" ht="22.5" customHeight="1" x14ac:dyDescent="0.25">
      <c r="C54" s="78"/>
      <c r="D54" s="122"/>
      <c r="E54" s="122"/>
      <c r="O54" s="122"/>
      <c r="P54" s="122"/>
      <c r="Q54" s="122"/>
      <c r="X54" s="46"/>
      <c r="Y54" s="46"/>
    </row>
    <row r="55" spans="3:26" ht="22.5" customHeight="1" x14ac:dyDescent="0.25">
      <c r="I55" s="372" t="s">
        <v>333</v>
      </c>
      <c r="J55" s="367"/>
      <c r="K55" s="367"/>
      <c r="L55" s="367"/>
      <c r="M55" s="367"/>
      <c r="N55" s="368"/>
      <c r="O55" s="122"/>
      <c r="P55" s="122"/>
      <c r="Q55" s="122"/>
      <c r="X55" s="46"/>
      <c r="Y55" s="46"/>
    </row>
    <row r="56" spans="3:26" ht="22.5" customHeight="1" x14ac:dyDescent="0.25">
      <c r="I56" s="369"/>
      <c r="J56" s="365"/>
      <c r="K56" s="365"/>
      <c r="L56" s="365"/>
      <c r="M56" s="365"/>
      <c r="N56" s="370"/>
      <c r="O56" s="122"/>
      <c r="P56" s="122"/>
      <c r="Q56" s="122"/>
      <c r="X56" s="46"/>
      <c r="Y56" s="46"/>
    </row>
    <row r="57" spans="3:26" ht="22.5" customHeight="1" x14ac:dyDescent="0.25">
      <c r="I57" s="371" t="s">
        <v>662</v>
      </c>
      <c r="J57" s="237"/>
      <c r="K57" s="237"/>
      <c r="L57" s="237"/>
      <c r="M57" s="237"/>
      <c r="N57" s="355"/>
      <c r="O57" s="122"/>
      <c r="P57" s="122"/>
      <c r="Q57" s="122"/>
      <c r="X57" s="46"/>
      <c r="Y57" s="46"/>
    </row>
    <row r="58" spans="3:26" ht="22.5" customHeight="1" x14ac:dyDescent="0.25">
      <c r="O58" s="166"/>
      <c r="P58" s="166"/>
      <c r="Q58" s="166"/>
      <c r="X58" s="46"/>
      <c r="Y58" s="46"/>
    </row>
    <row r="59" spans="3:26" ht="22.5" customHeight="1" x14ac:dyDescent="0.25">
      <c r="O59" s="122"/>
      <c r="P59" s="122"/>
      <c r="Q59" s="122"/>
      <c r="X59" s="46"/>
      <c r="Y59" s="46"/>
    </row>
    <row r="60" spans="3:26" ht="22.5" customHeight="1" x14ac:dyDescent="0.25">
      <c r="O60" s="166"/>
      <c r="P60" s="166"/>
      <c r="Q60" s="166"/>
      <c r="X60" s="46"/>
      <c r="Y60" s="46"/>
    </row>
    <row r="61" spans="3:26" ht="22.5" customHeight="1" x14ac:dyDescent="0.25">
      <c r="O61" s="122"/>
      <c r="P61" s="122"/>
      <c r="Q61" s="122"/>
      <c r="X61" s="46"/>
      <c r="Y61" s="46"/>
    </row>
    <row r="62" spans="3:26" ht="22.5" customHeight="1" x14ac:dyDescent="0.25">
      <c r="O62" s="122"/>
      <c r="P62" s="122"/>
      <c r="Q62" s="122"/>
      <c r="X62" s="46"/>
      <c r="Y62" s="46"/>
    </row>
    <row r="63" spans="3:26" ht="22.5" customHeight="1" x14ac:dyDescent="0.25">
      <c r="O63" s="166"/>
      <c r="P63" s="166"/>
      <c r="Q63" s="166"/>
      <c r="X63" s="46"/>
      <c r="Y63" s="46"/>
    </row>
    <row r="64" spans="3:26" ht="22.5" customHeight="1" x14ac:dyDescent="0.25">
      <c r="O64" s="122"/>
      <c r="P64" s="122"/>
      <c r="Q64" s="122"/>
      <c r="X64" s="46"/>
      <c r="Y64" s="46"/>
    </row>
    <row r="65" spans="15:25" ht="25.5" customHeight="1" x14ac:dyDescent="0.25">
      <c r="O65" s="18"/>
      <c r="P65" s="18"/>
      <c r="Q65" s="18"/>
      <c r="X65" s="46"/>
      <c r="Y65" s="46"/>
    </row>
    <row r="66" spans="15:25" ht="15" customHeight="1" x14ac:dyDescent="0.25">
      <c r="O66" s="18"/>
      <c r="P66" s="18"/>
      <c r="Q66" s="18"/>
      <c r="X66" s="46"/>
      <c r="Y66" s="46"/>
    </row>
    <row r="67" spans="15:25" ht="15" customHeight="1" x14ac:dyDescent="0.25">
      <c r="X67" s="46"/>
      <c r="Y67" s="46"/>
    </row>
  </sheetData>
  <sheetProtection sheet="1" objects="1" scenarios="1"/>
  <mergeCells count="2">
    <mergeCell ref="O3:T3"/>
    <mergeCell ref="Y4:Z4"/>
  </mergeCells>
  <printOptions gridLines="1"/>
  <pageMargins left="0.43307086614173229" right="0.39370078740157483" top="0.86614173228346458" bottom="0.78740157480314965" header="0.31496062992125984" footer="0.31496062992125984"/>
  <pageSetup paperSize="9" scale="70" fitToHeight="0" orientation="landscape" cellComments="asDisplayed" r:id="rId1"/>
  <headerFooter>
    <oddHeader xml:space="preserve">&amp;LUMEÅ UNIVERSITET
Lärarhögskolan
Eva Alenius&amp;CVAL - RESURSER
2020&amp;RBOKFÖRINGSORDER
</oddHeader>
    <oddFooter>&amp;L&amp;F&amp;C&amp;A&amp;R&amp;P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7"/>
  <sheetViews>
    <sheetView zoomScaleNormal="100" zoomScalePageLayoutView="90" workbookViewId="0">
      <selection activeCell="G2" sqref="G2"/>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4.42578125" customWidth="1"/>
    <col min="12" max="12" width="19"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3">
      <c r="C1" s="38" t="s">
        <v>276</v>
      </c>
      <c r="L1" s="354" t="s">
        <v>331</v>
      </c>
      <c r="M1" s="354"/>
      <c r="N1" s="435">
        <v>6000056</v>
      </c>
      <c r="O1" s="18"/>
      <c r="P1" s="18"/>
      <c r="Q1" s="18"/>
    </row>
    <row r="2" spans="1:26" ht="27.75" customHeight="1" x14ac:dyDescent="0.3">
      <c r="C2" s="163" t="s">
        <v>955</v>
      </c>
      <c r="D2" s="204"/>
      <c r="L2" s="354" t="s">
        <v>332</v>
      </c>
      <c r="M2" s="354"/>
      <c r="N2" s="436">
        <v>44102</v>
      </c>
      <c r="O2" s="18"/>
      <c r="P2" s="18"/>
      <c r="Q2" s="18"/>
    </row>
    <row r="3" spans="1:26" ht="27.75" customHeight="1" x14ac:dyDescent="0.25">
      <c r="A3" s="18"/>
      <c r="B3" s="18"/>
      <c r="O3" s="426"/>
      <c r="P3" s="427"/>
      <c r="Q3" s="427"/>
      <c r="R3" s="427"/>
      <c r="S3" s="427"/>
      <c r="T3" s="427"/>
    </row>
    <row r="4" spans="1:26" ht="51.75" customHeight="1" x14ac:dyDescent="0.25">
      <c r="A4" s="28" t="s">
        <v>64</v>
      </c>
      <c r="B4" s="28" t="s">
        <v>466</v>
      </c>
      <c r="C4" s="28" t="s">
        <v>33</v>
      </c>
      <c r="D4" s="165" t="s">
        <v>948</v>
      </c>
      <c r="E4" s="165" t="s">
        <v>949</v>
      </c>
      <c r="G4" s="164" t="s">
        <v>334</v>
      </c>
      <c r="H4" s="164" t="s">
        <v>335</v>
      </c>
      <c r="I4" s="164"/>
      <c r="J4" s="164" t="s">
        <v>336</v>
      </c>
      <c r="K4" s="343" t="s">
        <v>895</v>
      </c>
      <c r="L4" s="342" t="s">
        <v>911</v>
      </c>
      <c r="M4" s="164" t="s">
        <v>338</v>
      </c>
      <c r="N4" s="164" t="s">
        <v>337</v>
      </c>
      <c r="O4" s="244"/>
      <c r="P4" s="252"/>
      <c r="Q4" s="252"/>
      <c r="T4" s="61" t="s">
        <v>950</v>
      </c>
      <c r="Y4" s="429" t="s">
        <v>823</v>
      </c>
      <c r="Z4" s="429"/>
    </row>
    <row r="5" spans="1:26" ht="22.5" customHeight="1" x14ac:dyDescent="0.25">
      <c r="O5" s="18"/>
      <c r="P5" s="18"/>
      <c r="Q5" s="18"/>
      <c r="T5">
        <v>2020</v>
      </c>
      <c r="U5" t="s">
        <v>298</v>
      </c>
      <c r="V5" t="s">
        <v>106</v>
      </c>
      <c r="Y5" s="373" t="s">
        <v>358</v>
      </c>
      <c r="Z5" s="373" t="s">
        <v>357</v>
      </c>
    </row>
    <row r="6" spans="1:26" ht="22.5" customHeight="1" x14ac:dyDescent="0.25">
      <c r="A6" s="207" t="s">
        <v>321</v>
      </c>
      <c r="B6" s="207">
        <v>1620</v>
      </c>
      <c r="C6" s="208" t="s">
        <v>131</v>
      </c>
      <c r="D6" s="209">
        <f>U6</f>
        <v>329737.50101647084</v>
      </c>
      <c r="E6" s="209">
        <f>V6</f>
        <v>55312.50017051</v>
      </c>
      <c r="F6" s="210"/>
      <c r="G6" s="210">
        <v>3094</v>
      </c>
      <c r="H6" s="210">
        <v>162000100</v>
      </c>
      <c r="I6" s="210"/>
      <c r="J6" s="210">
        <v>11</v>
      </c>
      <c r="K6" s="27">
        <f>VLOOKUP(B6,'Utfördelat tom aug'!$A$3:$G$28,7,FALSE)</f>
        <v>322490.3125</v>
      </c>
      <c r="L6" s="209">
        <f>(D6+E6-K6)/4</f>
        <v>15639.922171745216</v>
      </c>
      <c r="M6" s="210" t="s">
        <v>467</v>
      </c>
      <c r="N6" s="210" t="s">
        <v>565</v>
      </c>
      <c r="O6" s="122"/>
      <c r="P6" s="122"/>
      <c r="Q6" s="122"/>
      <c r="R6" s="27"/>
      <c r="S6" s="61">
        <v>1620</v>
      </c>
      <c r="T6" s="78" t="s">
        <v>131</v>
      </c>
      <c r="U6" s="46">
        <v>329737.50101647084</v>
      </c>
      <c r="V6" s="46">
        <v>55312.50017051</v>
      </c>
      <c r="X6" s="46"/>
      <c r="Y6" s="378">
        <v>55312.50017051</v>
      </c>
      <c r="Z6" s="378">
        <v>329737.50101647084</v>
      </c>
    </row>
    <row r="7" spans="1:26" ht="22.5" customHeight="1" x14ac:dyDescent="0.25">
      <c r="A7" s="210"/>
      <c r="B7" s="210"/>
      <c r="C7" s="207"/>
      <c r="D7" s="210"/>
      <c r="E7" s="210"/>
      <c r="F7" s="210"/>
      <c r="G7" s="210">
        <v>3094</v>
      </c>
      <c r="H7" s="210">
        <v>600011235</v>
      </c>
      <c r="I7" s="210"/>
      <c r="J7" s="210">
        <v>11</v>
      </c>
      <c r="K7" s="27"/>
      <c r="L7" s="209">
        <f>L6</f>
        <v>15639.922171745216</v>
      </c>
      <c r="M7" s="210" t="s">
        <v>468</v>
      </c>
      <c r="N7" s="210" t="s">
        <v>565</v>
      </c>
      <c r="O7" s="122"/>
      <c r="P7" s="122"/>
      <c r="Q7" s="122"/>
      <c r="R7" s="27"/>
      <c r="S7" s="18">
        <v>1630</v>
      </c>
      <c r="T7" s="78" t="s">
        <v>127</v>
      </c>
      <c r="U7" s="46">
        <v>43965</v>
      </c>
      <c r="V7" s="46">
        <v>7375</v>
      </c>
      <c r="X7" s="46"/>
      <c r="Y7" s="378">
        <v>7375</v>
      </c>
      <c r="Z7" s="378">
        <v>43965</v>
      </c>
    </row>
    <row r="8" spans="1:26" ht="22.5" customHeight="1" x14ac:dyDescent="0.25">
      <c r="A8" s="210"/>
      <c r="B8" s="210">
        <v>1630</v>
      </c>
      <c r="C8" s="208" t="s">
        <v>127</v>
      </c>
      <c r="D8" s="209">
        <f>U7</f>
        <v>43965</v>
      </c>
      <c r="E8" s="209">
        <f>V7</f>
        <v>7375</v>
      </c>
      <c r="F8" s="210"/>
      <c r="G8" s="210">
        <v>3094</v>
      </c>
      <c r="H8" s="210">
        <v>163000100</v>
      </c>
      <c r="I8" s="210"/>
      <c r="J8" s="210">
        <v>11</v>
      </c>
      <c r="K8" s="27">
        <f>VLOOKUP(B8,'Utfördelat tom aug'!$A$3:$G$28,7,FALSE)</f>
        <v>20536</v>
      </c>
      <c r="L8" s="209">
        <f>(D8+E8-K8)/4</f>
        <v>7701</v>
      </c>
      <c r="M8" s="210" t="s">
        <v>467</v>
      </c>
      <c r="N8" s="210" t="s">
        <v>565</v>
      </c>
      <c r="O8" s="122"/>
      <c r="P8" s="122"/>
      <c r="Q8" s="182"/>
      <c r="R8" s="27"/>
      <c r="S8" s="18">
        <v>1640</v>
      </c>
      <c r="T8" s="78" t="s">
        <v>128</v>
      </c>
      <c r="U8" s="46">
        <v>0</v>
      </c>
      <c r="V8" s="46">
        <v>0</v>
      </c>
      <c r="X8" s="46"/>
      <c r="Y8" s="378">
        <v>0</v>
      </c>
      <c r="Z8" s="378">
        <v>0</v>
      </c>
    </row>
    <row r="9" spans="1:26" ht="22.5" customHeight="1" x14ac:dyDescent="0.25">
      <c r="A9" s="210"/>
      <c r="B9" s="210"/>
      <c r="C9" s="207"/>
      <c r="D9" s="210"/>
      <c r="E9" s="210"/>
      <c r="F9" s="210"/>
      <c r="G9" s="210">
        <v>3094</v>
      </c>
      <c r="H9" s="210">
        <v>600011235</v>
      </c>
      <c r="I9" s="210"/>
      <c r="J9" s="210">
        <v>11</v>
      </c>
      <c r="K9" s="27"/>
      <c r="L9" s="209">
        <f>L8</f>
        <v>7701</v>
      </c>
      <c r="M9" s="210" t="s">
        <v>468</v>
      </c>
      <c r="N9" s="210" t="s">
        <v>565</v>
      </c>
      <c r="O9" s="122"/>
      <c r="P9" s="122"/>
      <c r="Q9" s="182"/>
      <c r="R9" s="27"/>
      <c r="S9" s="162">
        <v>1650</v>
      </c>
      <c r="T9" s="293" t="s">
        <v>9</v>
      </c>
      <c r="U9" s="46">
        <v>1977824.6296908821</v>
      </c>
      <c r="V9" s="46">
        <v>943595.00354339986</v>
      </c>
      <c r="X9" s="46"/>
      <c r="Y9" s="378">
        <v>943595.00354339986</v>
      </c>
      <c r="Z9" s="378">
        <v>1977824.6296908821</v>
      </c>
    </row>
    <row r="10" spans="1:26" ht="22.5" customHeight="1" x14ac:dyDescent="0.25">
      <c r="A10" s="210"/>
      <c r="B10" s="210">
        <v>1640</v>
      </c>
      <c r="C10" s="211" t="s">
        <v>128</v>
      </c>
      <c r="D10" s="209">
        <f>U8</f>
        <v>0</v>
      </c>
      <c r="E10" s="209">
        <f>V8</f>
        <v>0</v>
      </c>
      <c r="F10" s="210"/>
      <c r="G10" s="210">
        <v>3094</v>
      </c>
      <c r="H10" s="210">
        <v>164016100</v>
      </c>
      <c r="I10" s="210"/>
      <c r="J10" s="210">
        <v>11</v>
      </c>
      <c r="K10" s="27">
        <f>VLOOKUP(B10,'Utfördelat tom aug'!$A$3:$G$28,7,FALSE)</f>
        <v>0</v>
      </c>
      <c r="L10" s="209">
        <f>(D10+E10-K10)/4</f>
        <v>0</v>
      </c>
      <c r="M10" s="210" t="s">
        <v>467</v>
      </c>
      <c r="N10" s="210" t="s">
        <v>565</v>
      </c>
      <c r="O10" s="122"/>
      <c r="P10" s="122"/>
      <c r="Q10" s="182"/>
      <c r="R10" s="27"/>
      <c r="T10" s="38"/>
      <c r="X10" s="46"/>
      <c r="Y10" s="377"/>
      <c r="Z10" s="373"/>
    </row>
    <row r="11" spans="1:26" ht="22.5" customHeight="1" x14ac:dyDescent="0.25">
      <c r="A11" s="210"/>
      <c r="B11" s="210"/>
      <c r="C11" s="207"/>
      <c r="D11" s="210"/>
      <c r="E11" s="210"/>
      <c r="F11" s="210"/>
      <c r="G11" s="210">
        <v>3094</v>
      </c>
      <c r="H11" s="210">
        <v>600011235</v>
      </c>
      <c r="I11" s="210"/>
      <c r="J11" s="210">
        <v>11</v>
      </c>
      <c r="K11" s="27"/>
      <c r="L11" s="209">
        <f>L10</f>
        <v>0</v>
      </c>
      <c r="M11" s="210" t="s">
        <v>468</v>
      </c>
      <c r="N11" s="210" t="s">
        <v>565</v>
      </c>
      <c r="O11" s="122"/>
      <c r="P11" s="122"/>
      <c r="Q11" s="182"/>
      <c r="R11" s="27"/>
      <c r="X11" s="46"/>
      <c r="Y11" s="377"/>
      <c r="Z11" s="373"/>
    </row>
    <row r="12" spans="1:26" ht="22.5" customHeight="1" x14ac:dyDescent="0.25">
      <c r="A12" s="210"/>
      <c r="B12" s="214">
        <v>1650</v>
      </c>
      <c r="C12" s="211" t="s">
        <v>9</v>
      </c>
      <c r="D12" s="215">
        <f>U9+U10</f>
        <v>1977824.6296908821</v>
      </c>
      <c r="E12" s="215">
        <f>V9+V10</f>
        <v>943595.00354339986</v>
      </c>
      <c r="F12" s="214"/>
      <c r="G12" s="214">
        <v>3094</v>
      </c>
      <c r="H12" s="214">
        <v>165000001</v>
      </c>
      <c r="I12" s="214"/>
      <c r="J12" s="214">
        <v>11</v>
      </c>
      <c r="K12" s="27">
        <f>VLOOKUP(B12,'Utfördelat tom aug'!$A$3:$G$28,7,FALSE)</f>
        <v>1946227.8319999999</v>
      </c>
      <c r="L12" s="209">
        <f>(D12+E12-K12)/4</f>
        <v>243797.95030857052</v>
      </c>
      <c r="M12" s="214" t="s">
        <v>467</v>
      </c>
      <c r="N12" s="210" t="s">
        <v>565</v>
      </c>
      <c r="O12" s="122"/>
      <c r="P12" s="122"/>
      <c r="Q12" s="182"/>
      <c r="R12" s="27"/>
      <c r="X12" s="46"/>
      <c r="Y12" s="377"/>
      <c r="Z12" s="373"/>
    </row>
    <row r="13" spans="1:26" ht="22.5" customHeight="1" x14ac:dyDescent="0.25">
      <c r="A13" s="210"/>
      <c r="B13" s="214"/>
      <c r="C13" s="211"/>
      <c r="D13" s="214"/>
      <c r="E13" s="214"/>
      <c r="F13" s="214"/>
      <c r="G13" s="214">
        <v>3094</v>
      </c>
      <c r="H13" s="210">
        <v>600011235</v>
      </c>
      <c r="I13" s="214"/>
      <c r="J13" s="214">
        <v>11</v>
      </c>
      <c r="K13" s="27"/>
      <c r="L13" s="215">
        <f>L12</f>
        <v>243797.95030857052</v>
      </c>
      <c r="M13" s="214" t="s">
        <v>468</v>
      </c>
      <c r="N13" s="210" t="s">
        <v>565</v>
      </c>
      <c r="O13" s="122"/>
      <c r="P13" s="122"/>
      <c r="Q13" s="182"/>
      <c r="R13" s="27"/>
      <c r="Y13" s="373"/>
      <c r="Z13" s="373"/>
    </row>
    <row r="14" spans="1:26" ht="22.5" customHeight="1" x14ac:dyDescent="0.25">
      <c r="A14" s="356"/>
      <c r="B14" s="356"/>
      <c r="C14" s="356"/>
      <c r="D14" s="356"/>
      <c r="E14" s="356"/>
      <c r="F14" s="356"/>
      <c r="G14" s="356"/>
      <c r="H14" s="356"/>
      <c r="I14" s="356"/>
      <c r="J14" s="356"/>
      <c r="K14" s="357"/>
      <c r="L14" s="358"/>
      <c r="M14" s="356"/>
      <c r="N14" s="356"/>
      <c r="O14" s="122"/>
      <c r="P14" s="122"/>
      <c r="Q14" s="182"/>
      <c r="R14" s="27"/>
      <c r="Y14" s="373"/>
      <c r="Z14" s="373"/>
    </row>
    <row r="15" spans="1:26" ht="22.5" customHeight="1" x14ac:dyDescent="0.25">
      <c r="A15" s="207"/>
      <c r="K15" s="27"/>
      <c r="O15" s="122"/>
      <c r="P15" s="122"/>
      <c r="Q15" s="182"/>
      <c r="R15" s="27"/>
      <c r="T15">
        <v>2020</v>
      </c>
      <c r="U15" t="s">
        <v>298</v>
      </c>
      <c r="V15" t="s">
        <v>106</v>
      </c>
      <c r="X15" s="46"/>
      <c r="Y15" s="422" t="s">
        <v>358</v>
      </c>
      <c r="Z15" s="422" t="s">
        <v>357</v>
      </c>
    </row>
    <row r="16" spans="1:26" ht="22.5" customHeight="1" x14ac:dyDescent="0.25">
      <c r="A16" s="210" t="s">
        <v>322</v>
      </c>
      <c r="B16" s="210">
        <v>2180</v>
      </c>
      <c r="C16" s="208" t="s">
        <v>147</v>
      </c>
      <c r="D16" s="209">
        <f>U16</f>
        <v>936938.58660273242</v>
      </c>
      <c r="E16" s="212">
        <f>V16</f>
        <v>111918.33338989667</v>
      </c>
      <c r="F16" s="210"/>
      <c r="G16" s="210">
        <v>3094</v>
      </c>
      <c r="H16" s="214">
        <v>218000101</v>
      </c>
      <c r="I16" s="210"/>
      <c r="J16" s="210">
        <v>11</v>
      </c>
      <c r="K16" s="27">
        <f>VLOOKUP(B16,'Utfördelat tom aug'!$A$3:$G$28,7,FALSE)</f>
        <v>615369.72466666659</v>
      </c>
      <c r="L16" s="209">
        <f>(D16-K16)/4</f>
        <v>80392.215484016459</v>
      </c>
      <c r="M16" s="210" t="s">
        <v>467</v>
      </c>
      <c r="N16" s="210" t="s">
        <v>566</v>
      </c>
      <c r="O16" s="122"/>
      <c r="P16" s="122"/>
      <c r="Q16" s="182"/>
      <c r="R16" s="27"/>
      <c r="S16" s="18">
        <v>2180</v>
      </c>
      <c r="T16" s="78" t="s">
        <v>147</v>
      </c>
      <c r="U16" s="46">
        <v>936938.58660273242</v>
      </c>
      <c r="V16" s="46">
        <v>111918.33338989667</v>
      </c>
      <c r="X16" s="46"/>
      <c r="Y16" s="378">
        <v>111918.33338989667</v>
      </c>
      <c r="Z16" s="378">
        <v>936938.58660273242</v>
      </c>
    </row>
    <row r="17" spans="1:26" ht="22.5" customHeight="1" x14ac:dyDescent="0.25">
      <c r="B17" s="210"/>
      <c r="C17" s="211"/>
      <c r="D17" s="209"/>
      <c r="E17" s="212"/>
      <c r="F17" s="210"/>
      <c r="G17" s="210">
        <v>3094</v>
      </c>
      <c r="H17" s="210">
        <v>600011235</v>
      </c>
      <c r="I17" s="210"/>
      <c r="J17" s="210">
        <v>11</v>
      </c>
      <c r="K17" s="27"/>
      <c r="L17" s="209">
        <f>L16</f>
        <v>80392.215484016459</v>
      </c>
      <c r="M17" s="210" t="s">
        <v>468</v>
      </c>
      <c r="N17" s="210" t="s">
        <v>566</v>
      </c>
      <c r="O17" s="122"/>
      <c r="P17" s="122"/>
      <c r="Q17" s="38"/>
      <c r="R17" s="27"/>
      <c r="S17" s="18">
        <v>2193</v>
      </c>
      <c r="T17" s="78" t="s">
        <v>499</v>
      </c>
      <c r="U17" s="46">
        <v>1451537.7906544362</v>
      </c>
      <c r="V17" s="46">
        <v>155907.50008830332</v>
      </c>
      <c r="X17" s="46"/>
      <c r="Y17" s="378">
        <v>155907.50008830332</v>
      </c>
      <c r="Z17" s="378">
        <v>1451537.7906544362</v>
      </c>
    </row>
    <row r="18" spans="1:26" ht="22.5" customHeight="1" x14ac:dyDescent="0.25">
      <c r="B18" s="210">
        <v>2193</v>
      </c>
      <c r="C18" s="208" t="s">
        <v>347</v>
      </c>
      <c r="D18" s="209">
        <f>U17</f>
        <v>1451537.7906544362</v>
      </c>
      <c r="E18" s="212">
        <f>V17</f>
        <v>155907.50008830332</v>
      </c>
      <c r="F18" s="210"/>
      <c r="G18" s="210">
        <v>3094</v>
      </c>
      <c r="H18" s="210">
        <v>219300001</v>
      </c>
      <c r="I18" s="210"/>
      <c r="J18" s="210">
        <v>11</v>
      </c>
      <c r="K18" s="27">
        <f>VLOOKUP(B18,'Utfördelat tom aug'!$A$3:$G$28,7,FALSE)</f>
        <v>1043924.2760000001</v>
      </c>
      <c r="L18" s="209">
        <f>(D18-K18)/4</f>
        <v>101903.37866360904</v>
      </c>
      <c r="M18" s="210" t="s">
        <v>467</v>
      </c>
      <c r="N18" s="210" t="s">
        <v>566</v>
      </c>
      <c r="O18" s="122"/>
      <c r="P18" s="122"/>
      <c r="Q18" s="182"/>
      <c r="R18" s="27"/>
      <c r="S18">
        <v>2200</v>
      </c>
      <c r="T18" s="78" t="s">
        <v>898</v>
      </c>
      <c r="U18" s="15">
        <v>0</v>
      </c>
      <c r="V18">
        <v>0</v>
      </c>
      <c r="Y18" s="378">
        <v>0</v>
      </c>
      <c r="Z18" s="378">
        <v>0</v>
      </c>
    </row>
    <row r="19" spans="1:26" ht="22.5" customHeight="1" x14ac:dyDescent="0.25">
      <c r="B19" s="210"/>
      <c r="C19" s="207"/>
      <c r="D19" s="210"/>
      <c r="E19" s="213"/>
      <c r="F19" s="210"/>
      <c r="G19" s="210">
        <v>3094</v>
      </c>
      <c r="H19" s="210">
        <v>600011235</v>
      </c>
      <c r="I19" s="210"/>
      <c r="J19" s="210">
        <v>11</v>
      </c>
      <c r="K19" s="27"/>
      <c r="L19" s="209">
        <f>L18</f>
        <v>101903.37866360904</v>
      </c>
      <c r="M19" s="210" t="s">
        <v>468</v>
      </c>
      <c r="N19" s="210" t="s">
        <v>566</v>
      </c>
      <c r="O19" s="122"/>
      <c r="P19" s="122"/>
      <c r="Q19" s="182"/>
      <c r="R19" s="27"/>
      <c r="S19" s="18">
        <v>2300</v>
      </c>
      <c r="T19" s="78" t="s">
        <v>152</v>
      </c>
      <c r="U19" s="46">
        <v>0</v>
      </c>
      <c r="V19" s="46">
        <v>0</v>
      </c>
      <c r="X19" s="46"/>
      <c r="Y19" s="378">
        <v>0</v>
      </c>
      <c r="Z19" s="378">
        <v>0</v>
      </c>
    </row>
    <row r="20" spans="1:26" ht="22.5" customHeight="1" x14ac:dyDescent="0.25">
      <c r="B20" s="210">
        <v>2200</v>
      </c>
      <c r="C20" s="208" t="s">
        <v>898</v>
      </c>
      <c r="D20" s="395">
        <f>U18</f>
        <v>0</v>
      </c>
      <c r="E20" s="210">
        <f>V18</f>
        <v>0</v>
      </c>
      <c r="F20" s="210"/>
      <c r="G20" s="210">
        <v>3094</v>
      </c>
      <c r="H20" s="210">
        <v>220000100</v>
      </c>
      <c r="I20" s="210"/>
      <c r="J20" s="210">
        <v>11</v>
      </c>
      <c r="K20" s="395">
        <f>VLOOKUP(B20,'Utfördelat tom aug'!$A$3:$G$28,7,FALSE)</f>
        <v>12783.474999999999</v>
      </c>
      <c r="L20" s="395">
        <f>(D20-K20)/4</f>
        <v>-3195.8687499999996</v>
      </c>
      <c r="M20" s="210" t="s">
        <v>467</v>
      </c>
      <c r="N20" s="210" t="s">
        <v>566</v>
      </c>
      <c r="O20" s="122"/>
      <c r="P20" s="122"/>
      <c r="Q20" s="182"/>
      <c r="R20" s="27"/>
      <c r="S20" s="359">
        <v>2750</v>
      </c>
      <c r="T20" s="78" t="s">
        <v>160</v>
      </c>
      <c r="U20" s="46">
        <v>280314.00197290559</v>
      </c>
      <c r="V20" s="46">
        <v>85775.000382619997</v>
      </c>
      <c r="X20" s="46"/>
      <c r="Y20" s="378">
        <v>85775.000382619997</v>
      </c>
      <c r="Z20" s="378">
        <v>280314.00197290559</v>
      </c>
    </row>
    <row r="21" spans="1:26" ht="22.5" customHeight="1" x14ac:dyDescent="0.25">
      <c r="B21" s="210"/>
      <c r="C21" s="210"/>
      <c r="D21" s="210"/>
      <c r="E21" s="210"/>
      <c r="F21" s="210"/>
      <c r="G21" s="210">
        <v>3094</v>
      </c>
      <c r="H21" s="210">
        <v>600011235</v>
      </c>
      <c r="I21" s="210"/>
      <c r="J21" s="210">
        <v>11</v>
      </c>
      <c r="K21" s="210"/>
      <c r="L21" s="395">
        <f>L20</f>
        <v>-3195.8687499999996</v>
      </c>
      <c r="M21" s="210" t="s">
        <v>468</v>
      </c>
      <c r="N21" s="210" t="s">
        <v>566</v>
      </c>
      <c r="O21" s="122"/>
      <c r="P21" s="122"/>
      <c r="Q21" s="182"/>
      <c r="R21" s="27"/>
      <c r="X21" s="46"/>
      <c r="Y21" s="377"/>
      <c r="Z21" s="374"/>
    </row>
    <row r="22" spans="1:26" ht="22.5" customHeight="1" x14ac:dyDescent="0.25">
      <c r="A22" s="210"/>
      <c r="B22" s="210">
        <v>2300</v>
      </c>
      <c r="C22" s="208" t="s">
        <v>759</v>
      </c>
      <c r="D22" s="215">
        <f>U19</f>
        <v>0</v>
      </c>
      <c r="E22" s="216">
        <f>V19</f>
        <v>0</v>
      </c>
      <c r="F22" s="210"/>
      <c r="G22" s="210">
        <v>3094</v>
      </c>
      <c r="H22" s="210">
        <v>234000100</v>
      </c>
      <c r="I22" s="210"/>
      <c r="J22" s="210">
        <v>11</v>
      </c>
      <c r="K22" s="27">
        <f>VLOOKUP(B22,'Utfördelat tom aug'!$A$3:$G$28,7,FALSE)</f>
        <v>0</v>
      </c>
      <c r="L22" s="209">
        <f>(D22-K22)/4</f>
        <v>0</v>
      </c>
      <c r="M22" s="210" t="s">
        <v>467</v>
      </c>
      <c r="N22" s="210" t="s">
        <v>566</v>
      </c>
      <c r="O22" s="122"/>
      <c r="P22" s="122"/>
      <c r="Q22" s="182"/>
      <c r="R22" s="27"/>
      <c r="S22" s="162"/>
      <c r="T22" s="78"/>
      <c r="U22" s="15"/>
      <c r="V22" s="15"/>
      <c r="X22" s="46"/>
      <c r="Y22" s="377"/>
      <c r="Z22" s="374"/>
    </row>
    <row r="23" spans="1:26" ht="22.5" customHeight="1" x14ac:dyDescent="0.25">
      <c r="A23" s="210"/>
      <c r="B23" s="210"/>
      <c r="C23" s="207"/>
      <c r="D23" s="210"/>
      <c r="E23" s="213"/>
      <c r="F23" s="210"/>
      <c r="G23" s="210">
        <v>3094</v>
      </c>
      <c r="H23" s="210">
        <v>600011235</v>
      </c>
      <c r="I23" s="210"/>
      <c r="J23" s="210">
        <v>11</v>
      </c>
      <c r="K23" s="27"/>
      <c r="L23" s="209">
        <f>L22</f>
        <v>0</v>
      </c>
      <c r="M23" s="210" t="s">
        <v>468</v>
      </c>
      <c r="N23" s="210" t="s">
        <v>566</v>
      </c>
      <c r="O23" s="122"/>
      <c r="P23" s="122"/>
      <c r="Q23" s="182"/>
      <c r="R23" s="27"/>
      <c r="Y23" s="373"/>
      <c r="Z23" s="374"/>
    </row>
    <row r="24" spans="1:26" ht="22.5" customHeight="1" x14ac:dyDescent="0.25">
      <c r="A24" s="214"/>
      <c r="B24" s="214">
        <v>2650</v>
      </c>
      <c r="C24" s="211" t="s">
        <v>160</v>
      </c>
      <c r="D24" s="215">
        <f>U20</f>
        <v>280314.00197290559</v>
      </c>
      <c r="E24" s="216">
        <f>V20</f>
        <v>85775.000382619997</v>
      </c>
      <c r="F24" s="214"/>
      <c r="G24" s="214">
        <v>3094</v>
      </c>
      <c r="H24" s="214">
        <v>265000100</v>
      </c>
      <c r="I24" s="214"/>
      <c r="J24" s="214">
        <v>11</v>
      </c>
      <c r="K24" s="27">
        <f>VLOOKUP(B24,'Utfördelat tom aug'!$A$3:$G$28,7,FALSE)</f>
        <v>207393</v>
      </c>
      <c r="L24" s="209">
        <f>(D24-K24)/4</f>
        <v>18230.250493226398</v>
      </c>
      <c r="M24" s="210" t="s">
        <v>467</v>
      </c>
      <c r="N24" s="210" t="s">
        <v>566</v>
      </c>
      <c r="O24" s="122"/>
      <c r="P24" s="122"/>
      <c r="Q24" s="182"/>
      <c r="R24" s="27"/>
      <c r="Y24" s="373"/>
      <c r="Z24" s="374"/>
    </row>
    <row r="25" spans="1:26" ht="22.5" customHeight="1" x14ac:dyDescent="0.25">
      <c r="A25" s="210"/>
      <c r="B25" s="210"/>
      <c r="C25" s="207"/>
      <c r="D25" s="210"/>
      <c r="E25" s="213"/>
      <c r="F25" s="210"/>
      <c r="G25" s="210">
        <v>3094</v>
      </c>
      <c r="H25" s="210">
        <v>600011235</v>
      </c>
      <c r="I25" s="210"/>
      <c r="J25" s="210">
        <v>11</v>
      </c>
      <c r="K25" s="27"/>
      <c r="L25" s="209">
        <f>L24</f>
        <v>18230.250493226398</v>
      </c>
      <c r="M25" s="210" t="s">
        <v>468</v>
      </c>
      <c r="N25" s="210" t="s">
        <v>566</v>
      </c>
      <c r="O25" s="122"/>
      <c r="P25" s="122"/>
      <c r="Q25" s="182"/>
      <c r="R25" s="27"/>
      <c r="Y25" s="373"/>
      <c r="Z25" s="374"/>
    </row>
    <row r="26" spans="1:26" ht="22.5" customHeight="1" x14ac:dyDescent="0.25">
      <c r="A26" s="207"/>
      <c r="B26" s="207">
        <v>2000</v>
      </c>
      <c r="C26" s="211" t="s">
        <v>366</v>
      </c>
      <c r="D26" s="207"/>
      <c r="E26" s="217">
        <f>SUM(E16:E25)</f>
        <v>353600.83386082004</v>
      </c>
      <c r="F26" s="207"/>
      <c r="G26" s="207">
        <v>3094</v>
      </c>
      <c r="H26" s="207">
        <v>200000001</v>
      </c>
      <c r="I26" s="207"/>
      <c r="J26" s="210">
        <v>11</v>
      </c>
      <c r="K26" s="27">
        <f>VLOOKUP(B26,'Utfördelat tom aug'!$A$3:$G$28,7,FALSE)</f>
        <v>248386.11111111109</v>
      </c>
      <c r="L26" s="209">
        <f>(E26-K26)/4</f>
        <v>26303.680687427237</v>
      </c>
      <c r="M26" s="210" t="s">
        <v>467</v>
      </c>
      <c r="N26" s="207" t="s">
        <v>567</v>
      </c>
      <c r="O26" s="122"/>
      <c r="P26" s="122"/>
      <c r="Q26" s="182"/>
      <c r="R26" s="27"/>
      <c r="Y26" s="373"/>
      <c r="Z26" s="374"/>
    </row>
    <row r="27" spans="1:26" ht="22.5" customHeight="1" x14ac:dyDescent="0.25">
      <c r="G27" s="236">
        <v>3094</v>
      </c>
      <c r="H27" s="210">
        <v>600011235</v>
      </c>
      <c r="J27" s="210">
        <v>11</v>
      </c>
      <c r="K27" s="27"/>
      <c r="L27" s="209">
        <f>L26</f>
        <v>26303.680687427237</v>
      </c>
      <c r="M27" s="210" t="s">
        <v>468</v>
      </c>
      <c r="N27" s="207" t="s">
        <v>567</v>
      </c>
      <c r="O27" s="122"/>
      <c r="P27" s="122"/>
      <c r="Q27" s="182"/>
      <c r="R27" s="27"/>
      <c r="Y27" s="373"/>
      <c r="Z27" s="373"/>
    </row>
    <row r="28" spans="1:26" ht="22.5" customHeight="1" x14ac:dyDescent="0.25">
      <c r="A28" s="356"/>
      <c r="B28" s="356"/>
      <c r="C28" s="360"/>
      <c r="D28" s="356"/>
      <c r="E28" s="361"/>
      <c r="F28" s="356"/>
      <c r="G28" s="356"/>
      <c r="H28" s="356"/>
      <c r="I28" s="356"/>
      <c r="J28" s="356"/>
      <c r="K28" s="357"/>
      <c r="L28" s="362"/>
      <c r="M28" s="356"/>
      <c r="N28" s="356"/>
      <c r="O28" s="122"/>
      <c r="P28" s="122"/>
      <c r="Q28" s="182"/>
      <c r="R28" s="27"/>
      <c r="T28">
        <v>2020</v>
      </c>
      <c r="U28" t="s">
        <v>298</v>
      </c>
      <c r="V28" t="s">
        <v>106</v>
      </c>
      <c r="X28" s="46"/>
      <c r="Y28" s="377" t="s">
        <v>358</v>
      </c>
      <c r="Z28" s="373" t="s">
        <v>357</v>
      </c>
    </row>
    <row r="29" spans="1:26" ht="22.5" customHeight="1" x14ac:dyDescent="0.25">
      <c r="A29" s="207"/>
      <c r="K29" s="27"/>
      <c r="O29" s="122"/>
      <c r="P29" s="122"/>
      <c r="Q29" s="182"/>
      <c r="R29" s="27"/>
      <c r="S29" s="61">
        <v>3306</v>
      </c>
      <c r="T29" s="345" t="s">
        <v>813</v>
      </c>
      <c r="U29" s="46">
        <v>0</v>
      </c>
      <c r="V29" s="46">
        <v>0</v>
      </c>
      <c r="X29" s="46"/>
      <c r="Y29" s="378">
        <v>0</v>
      </c>
      <c r="Z29" s="378">
        <v>0</v>
      </c>
    </row>
    <row r="30" spans="1:26" ht="22.5" customHeight="1" x14ac:dyDescent="0.25">
      <c r="A30" s="207" t="s">
        <v>324</v>
      </c>
      <c r="B30" s="210">
        <v>3306</v>
      </c>
      <c r="C30" s="208" t="s">
        <v>197</v>
      </c>
      <c r="D30" s="218">
        <f>U29</f>
        <v>0</v>
      </c>
      <c r="E30" s="218">
        <f>V29</f>
        <v>0</v>
      </c>
      <c r="F30" s="207"/>
      <c r="G30" s="236">
        <v>3094</v>
      </c>
      <c r="H30" s="236">
        <v>330600100</v>
      </c>
      <c r="I30" s="236"/>
      <c r="J30" s="236">
        <v>11</v>
      </c>
      <c r="K30" s="27">
        <f>VLOOKUP(B30,'Utfördelat tom aug'!$A$3:$G$28,7,FALSE)</f>
        <v>0</v>
      </c>
      <c r="L30" s="209">
        <f>(D30+E30-K30)/4</f>
        <v>0</v>
      </c>
      <c r="M30" s="210" t="s">
        <v>467</v>
      </c>
      <c r="N30" s="210" t="s">
        <v>565</v>
      </c>
      <c r="O30" s="122"/>
      <c r="P30" s="122"/>
      <c r="Q30" s="182"/>
      <c r="R30" s="27"/>
      <c r="S30">
        <v>3850</v>
      </c>
      <c r="T30" s="78" t="s">
        <v>470</v>
      </c>
      <c r="U30" s="46">
        <v>6253.165050025319</v>
      </c>
      <c r="V30" s="46">
        <v>2933.3333567999998</v>
      </c>
      <c r="X30" s="46"/>
      <c r="Y30" s="378">
        <v>2933.3333567999998</v>
      </c>
      <c r="Z30" s="378">
        <v>6253.165050025319</v>
      </c>
    </row>
    <row r="31" spans="1:26" ht="22.5" customHeight="1" x14ac:dyDescent="0.25">
      <c r="B31" s="210"/>
      <c r="C31" s="208"/>
      <c r="G31" s="236">
        <v>3094</v>
      </c>
      <c r="H31" s="210">
        <v>600011235</v>
      </c>
      <c r="J31" s="236">
        <v>11</v>
      </c>
      <c r="K31" s="27"/>
      <c r="L31" s="218">
        <f>L30</f>
        <v>0</v>
      </c>
      <c r="M31" s="210" t="s">
        <v>468</v>
      </c>
      <c r="N31" s="210" t="s">
        <v>565</v>
      </c>
      <c r="O31" s="122"/>
      <c r="P31" s="122"/>
      <c r="Q31" s="182"/>
      <c r="R31" s="27"/>
      <c r="X31" s="46"/>
      <c r="Y31" s="377"/>
      <c r="Z31" s="374"/>
    </row>
    <row r="32" spans="1:26" ht="22.5" customHeight="1" x14ac:dyDescent="0.25">
      <c r="B32" s="210">
        <v>3850</v>
      </c>
      <c r="C32" s="208" t="s">
        <v>470</v>
      </c>
      <c r="D32" s="218">
        <f>U30</f>
        <v>6253.165050025319</v>
      </c>
      <c r="E32" s="218">
        <f>V30</f>
        <v>2933.3333567999998</v>
      </c>
      <c r="G32" s="236">
        <v>3094</v>
      </c>
      <c r="H32" s="214">
        <v>385000002</v>
      </c>
      <c r="J32" s="236">
        <v>11</v>
      </c>
      <c r="K32" s="27">
        <f>VLOOKUP(B32,'Utfördelat tom aug'!$A$3:$G$28,7,FALSE)</f>
        <v>0</v>
      </c>
      <c r="L32" s="209">
        <f>(D32+E32-K32)/4</f>
        <v>2296.6246017063295</v>
      </c>
      <c r="M32" s="210" t="s">
        <v>467</v>
      </c>
      <c r="N32" s="210" t="s">
        <v>565</v>
      </c>
      <c r="O32" s="122"/>
      <c r="P32" s="122"/>
      <c r="Q32" s="182"/>
      <c r="R32" s="27"/>
      <c r="X32" s="46"/>
      <c r="Y32" s="377"/>
      <c r="Z32" s="374"/>
    </row>
    <row r="33" spans="1:26" ht="22.5" customHeight="1" x14ac:dyDescent="0.25">
      <c r="G33" s="236">
        <v>3094</v>
      </c>
      <c r="H33" s="210">
        <v>600011235</v>
      </c>
      <c r="J33" s="236">
        <v>11</v>
      </c>
      <c r="K33" s="27"/>
      <c r="L33" s="218">
        <f>L32</f>
        <v>2296.6246017063295</v>
      </c>
      <c r="M33" s="210" t="s">
        <v>468</v>
      </c>
      <c r="N33" s="210" t="s">
        <v>565</v>
      </c>
      <c r="O33" s="122"/>
      <c r="P33" s="122"/>
      <c r="Q33" s="182"/>
      <c r="R33" s="27"/>
      <c r="X33" s="46"/>
      <c r="Y33" s="377"/>
      <c r="Z33" s="373"/>
    </row>
    <row r="34" spans="1:26" ht="22.5" customHeight="1" x14ac:dyDescent="0.25">
      <c r="A34" s="356"/>
      <c r="B34" s="356"/>
      <c r="C34" s="363"/>
      <c r="D34" s="362"/>
      <c r="E34" s="362"/>
      <c r="F34" s="356"/>
      <c r="G34" s="364"/>
      <c r="H34" s="364"/>
      <c r="I34" s="364"/>
      <c r="J34" s="364"/>
      <c r="K34" s="357"/>
      <c r="L34" s="362"/>
      <c r="M34" s="356"/>
      <c r="N34" s="356"/>
      <c r="O34" s="122"/>
      <c r="P34" s="122"/>
      <c r="Q34" s="182"/>
      <c r="R34" s="27"/>
      <c r="S34" s="122"/>
      <c r="T34">
        <v>2020</v>
      </c>
      <c r="U34" t="s">
        <v>298</v>
      </c>
      <c r="V34" t="s">
        <v>106</v>
      </c>
      <c r="X34" s="46"/>
      <c r="Y34" s="377" t="s">
        <v>358</v>
      </c>
      <c r="Z34" s="373" t="s">
        <v>357</v>
      </c>
    </row>
    <row r="35" spans="1:26" ht="22.5" customHeight="1" x14ac:dyDescent="0.25">
      <c r="K35" s="27"/>
      <c r="O35" s="122"/>
      <c r="P35" s="122"/>
      <c r="Q35" s="182"/>
      <c r="R35" s="27"/>
      <c r="S35">
        <v>5100</v>
      </c>
      <c r="T35" s="78" t="s">
        <v>119</v>
      </c>
      <c r="U35" s="46">
        <v>0</v>
      </c>
      <c r="V35" s="46">
        <v>0</v>
      </c>
      <c r="X35" s="46"/>
      <c r="Y35" s="377">
        <v>0</v>
      </c>
      <c r="Z35" s="374">
        <v>0</v>
      </c>
    </row>
    <row r="36" spans="1:26" ht="22.5" customHeight="1" x14ac:dyDescent="0.25">
      <c r="A36" s="210" t="s">
        <v>367</v>
      </c>
      <c r="B36" s="210">
        <v>5100</v>
      </c>
      <c r="C36" s="78" t="s">
        <v>119</v>
      </c>
      <c r="D36" s="218">
        <f>U35</f>
        <v>0</v>
      </c>
      <c r="E36" s="218">
        <f>V35</f>
        <v>0</v>
      </c>
      <c r="G36" s="236">
        <v>3094</v>
      </c>
      <c r="H36" s="236">
        <v>510010100</v>
      </c>
      <c r="J36" s="236">
        <v>11</v>
      </c>
      <c r="K36" s="27">
        <f>VLOOKUP(B36,'Utfördelat tom aug'!$A$3:$G$28,7,FALSE)</f>
        <v>0</v>
      </c>
      <c r="L36" s="209">
        <f>(D36+E36-K36)/4</f>
        <v>0</v>
      </c>
      <c r="M36" s="210" t="s">
        <v>467</v>
      </c>
      <c r="N36" s="210" t="s">
        <v>565</v>
      </c>
      <c r="O36" s="122"/>
      <c r="P36" s="122"/>
      <c r="Q36" s="182"/>
      <c r="R36" s="27"/>
      <c r="S36">
        <v>5400</v>
      </c>
      <c r="T36" s="78" t="s">
        <v>263</v>
      </c>
      <c r="U36" s="46">
        <v>0</v>
      </c>
      <c r="V36" s="46">
        <v>0</v>
      </c>
      <c r="X36" s="46"/>
      <c r="Y36" s="377">
        <v>0</v>
      </c>
      <c r="Z36" s="374">
        <v>0</v>
      </c>
    </row>
    <row r="37" spans="1:26" ht="22.5" customHeight="1" x14ac:dyDescent="0.25">
      <c r="D37" s="218"/>
      <c r="G37" s="236">
        <v>3094</v>
      </c>
      <c r="H37" s="236">
        <v>600011235</v>
      </c>
      <c r="J37" s="236">
        <v>11</v>
      </c>
      <c r="K37" s="27"/>
      <c r="L37" s="218">
        <f>L36</f>
        <v>0</v>
      </c>
      <c r="M37" s="210" t="s">
        <v>468</v>
      </c>
      <c r="N37" s="210" t="s">
        <v>565</v>
      </c>
      <c r="O37" s="122"/>
      <c r="P37" s="122"/>
      <c r="Q37" s="182"/>
      <c r="R37" s="27"/>
      <c r="S37">
        <v>5410</v>
      </c>
      <c r="T37" s="78" t="s">
        <v>497</v>
      </c>
      <c r="U37" s="46">
        <v>0</v>
      </c>
      <c r="V37" s="46">
        <v>0</v>
      </c>
      <c r="X37" s="46"/>
      <c r="Y37" s="377">
        <v>0</v>
      </c>
      <c r="Z37" s="374">
        <v>0</v>
      </c>
    </row>
    <row r="38" spans="1:26" ht="22.5" customHeight="1" x14ac:dyDescent="0.25">
      <c r="B38" s="210">
        <v>5400</v>
      </c>
      <c r="C38" s="345" t="s">
        <v>761</v>
      </c>
      <c r="D38" s="218">
        <f>U36</f>
        <v>0</v>
      </c>
      <c r="E38" s="218">
        <f>V36</f>
        <v>0</v>
      </c>
      <c r="G38" s="236">
        <v>3094</v>
      </c>
      <c r="H38" s="236">
        <v>540000100</v>
      </c>
      <c r="J38" s="236">
        <v>11</v>
      </c>
      <c r="K38" s="27">
        <f>VLOOKUP(B38,'Utfördelat tom aug'!$A$3:$G$28,7,FALSE)</f>
        <v>0</v>
      </c>
      <c r="L38" s="209">
        <f>(D38+E38-K38)/4</f>
        <v>0</v>
      </c>
      <c r="M38" s="236" t="s">
        <v>467</v>
      </c>
      <c r="N38" s="210" t="s">
        <v>565</v>
      </c>
      <c r="O38" s="122"/>
      <c r="P38" s="122"/>
      <c r="Q38" s="182"/>
      <c r="R38" s="27"/>
      <c r="S38">
        <v>5500</v>
      </c>
      <c r="T38" s="78" t="s">
        <v>120</v>
      </c>
      <c r="U38" s="46">
        <v>0</v>
      </c>
      <c r="V38" s="46">
        <v>0</v>
      </c>
      <c r="X38" s="46"/>
      <c r="Y38" s="377">
        <v>0</v>
      </c>
      <c r="Z38" s="374">
        <v>0</v>
      </c>
    </row>
    <row r="39" spans="1:26" ht="22.5" customHeight="1" x14ac:dyDescent="0.25">
      <c r="B39" s="210"/>
      <c r="C39" s="78"/>
      <c r="D39" s="218"/>
      <c r="E39" s="218"/>
      <c r="G39" s="236">
        <v>3094</v>
      </c>
      <c r="H39" s="236">
        <v>600011235</v>
      </c>
      <c r="J39" s="236">
        <v>11</v>
      </c>
      <c r="K39" s="27"/>
      <c r="L39" s="218">
        <f>L38</f>
        <v>0</v>
      </c>
      <c r="M39" s="236" t="s">
        <v>468</v>
      </c>
      <c r="N39" s="210" t="s">
        <v>565</v>
      </c>
      <c r="O39" s="122"/>
      <c r="P39" s="122"/>
      <c r="Q39" s="251"/>
      <c r="R39" s="27"/>
      <c r="S39">
        <v>5730</v>
      </c>
      <c r="T39" s="78" t="s">
        <v>121</v>
      </c>
      <c r="U39" s="46">
        <v>6916.8750221340006</v>
      </c>
      <c r="V39" s="46">
        <v>2775.0000088800002</v>
      </c>
      <c r="X39" s="46"/>
      <c r="Y39" s="377">
        <v>2775.0000088800002</v>
      </c>
      <c r="Z39" s="374">
        <v>6916.8750221340006</v>
      </c>
    </row>
    <row r="40" spans="1:26" ht="22.5" customHeight="1" x14ac:dyDescent="0.25">
      <c r="B40" s="210">
        <v>5410</v>
      </c>
      <c r="C40" s="345" t="s">
        <v>497</v>
      </c>
      <c r="D40" s="218">
        <f>U37</f>
        <v>0</v>
      </c>
      <c r="E40" s="218">
        <f>V37</f>
        <v>0</v>
      </c>
      <c r="G40" s="236">
        <v>3094</v>
      </c>
      <c r="H40" s="236">
        <v>541000100</v>
      </c>
      <c r="J40" s="236">
        <v>11</v>
      </c>
      <c r="K40" s="27">
        <f>VLOOKUP(B40,'Utfördelat tom aug'!$A$3:$G$28,7,FALSE)</f>
        <v>0</v>
      </c>
      <c r="L40" s="209">
        <f>(D40+E40-K40)/4</f>
        <v>0</v>
      </c>
      <c r="M40" s="210" t="s">
        <v>467</v>
      </c>
      <c r="N40" s="210" t="s">
        <v>565</v>
      </c>
      <c r="O40" s="122"/>
      <c r="P40" s="122"/>
      <c r="Q40" s="122"/>
      <c r="R40" s="27"/>
      <c r="S40">
        <v>5740</v>
      </c>
      <c r="T40" s="78" t="s">
        <v>365</v>
      </c>
      <c r="U40" s="46">
        <v>1087854.9680559968</v>
      </c>
      <c r="V40" s="46">
        <v>210883.33425466</v>
      </c>
      <c r="X40" s="46"/>
      <c r="Y40" s="377">
        <v>210883.33425466</v>
      </c>
      <c r="Z40" s="374">
        <v>1087854.9680559968</v>
      </c>
    </row>
    <row r="41" spans="1:26" ht="22.5" customHeight="1" x14ac:dyDescent="0.25">
      <c r="B41" s="210"/>
      <c r="C41" s="78"/>
      <c r="D41" s="218"/>
      <c r="E41" s="218"/>
      <c r="G41" s="236">
        <v>3094</v>
      </c>
      <c r="H41" s="236">
        <v>600011235</v>
      </c>
      <c r="J41" s="236">
        <v>11</v>
      </c>
      <c r="K41" s="27"/>
      <c r="L41" s="218">
        <f>L40</f>
        <v>0</v>
      </c>
      <c r="M41" s="210" t="s">
        <v>468</v>
      </c>
      <c r="N41" s="210" t="s">
        <v>565</v>
      </c>
      <c r="O41" s="122"/>
      <c r="P41" s="122"/>
      <c r="Q41" s="122"/>
      <c r="R41" s="27"/>
      <c r="T41" s="78"/>
      <c r="U41" s="122"/>
      <c r="V41" s="182"/>
      <c r="X41" s="46"/>
      <c r="Y41" s="46"/>
    </row>
    <row r="42" spans="1:26" ht="22.5" customHeight="1" x14ac:dyDescent="0.25">
      <c r="B42" s="210">
        <v>5500</v>
      </c>
      <c r="C42" s="345" t="s">
        <v>760</v>
      </c>
      <c r="D42" s="218">
        <f>U38</f>
        <v>0</v>
      </c>
      <c r="E42" s="218">
        <f>V38</f>
        <v>0</v>
      </c>
      <c r="G42" s="236">
        <v>3094</v>
      </c>
      <c r="H42" s="236">
        <v>550001100</v>
      </c>
      <c r="J42" s="236">
        <v>11</v>
      </c>
      <c r="K42" s="27">
        <f>VLOOKUP(B42,'Utfördelat tom aug'!$A$3:$G$28,7,FALSE)</f>
        <v>0</v>
      </c>
      <c r="L42" s="209">
        <f>(D42+E42-K42)/4</f>
        <v>0</v>
      </c>
      <c r="M42" s="236" t="s">
        <v>467</v>
      </c>
      <c r="N42" s="210" t="s">
        <v>565</v>
      </c>
      <c r="O42" s="122"/>
      <c r="P42" s="122"/>
      <c r="Q42" s="122"/>
      <c r="R42" s="27"/>
      <c r="T42" s="78"/>
      <c r="U42" s="122"/>
      <c r="V42" s="182"/>
      <c r="X42" s="46"/>
      <c r="Y42" s="46"/>
    </row>
    <row r="43" spans="1:26" ht="22.5" customHeight="1" x14ac:dyDescent="0.25">
      <c r="B43" s="210"/>
      <c r="C43" s="78"/>
      <c r="D43" s="218"/>
      <c r="E43" s="218"/>
      <c r="G43" s="236">
        <v>3094</v>
      </c>
      <c r="H43" s="236">
        <v>600011235</v>
      </c>
      <c r="J43" s="236">
        <v>11</v>
      </c>
      <c r="K43" s="27"/>
      <c r="L43" s="218">
        <f>L42</f>
        <v>0</v>
      </c>
      <c r="M43" s="236" t="s">
        <v>468</v>
      </c>
      <c r="N43" s="210" t="s">
        <v>565</v>
      </c>
      <c r="O43" s="122"/>
      <c r="P43" s="122"/>
      <c r="Q43" s="122"/>
      <c r="R43" s="27"/>
      <c r="T43" s="78"/>
      <c r="U43" s="122"/>
      <c r="V43" s="182"/>
      <c r="X43" s="46"/>
      <c r="Y43" s="46"/>
      <c r="Z43" s="15"/>
    </row>
    <row r="44" spans="1:26" ht="22.5" customHeight="1" x14ac:dyDescent="0.25">
      <c r="B44" s="210">
        <v>5730</v>
      </c>
      <c r="C44" s="208" t="s">
        <v>121</v>
      </c>
      <c r="D44" s="218">
        <f>U39</f>
        <v>6916.8750221340006</v>
      </c>
      <c r="E44" s="218">
        <f>V39</f>
        <v>2775.0000088800002</v>
      </c>
      <c r="G44" s="236">
        <v>3094</v>
      </c>
      <c r="H44" s="236">
        <v>573000111</v>
      </c>
      <c r="J44" s="236">
        <v>11</v>
      </c>
      <c r="K44" s="27">
        <f>VLOOKUP(B44,'Utfördelat tom aug'!$A$3:$G$28,7,FALSE)</f>
        <v>6461.25</v>
      </c>
      <c r="L44" s="209">
        <f>(D44+E44-K44)/4</f>
        <v>807.65625775350009</v>
      </c>
      <c r="M44" s="210" t="s">
        <v>467</v>
      </c>
      <c r="N44" s="210" t="s">
        <v>565</v>
      </c>
      <c r="O44" s="122"/>
      <c r="P44" s="122"/>
      <c r="Q44" s="122"/>
      <c r="R44" s="27"/>
      <c r="S44" s="18"/>
      <c r="T44" s="78"/>
      <c r="U44" s="15"/>
      <c r="V44" s="15"/>
      <c r="X44" s="46"/>
      <c r="Y44" s="46"/>
      <c r="Z44" s="15"/>
    </row>
    <row r="45" spans="1:26" ht="22.5" customHeight="1" x14ac:dyDescent="0.25">
      <c r="G45" s="236">
        <v>3094</v>
      </c>
      <c r="H45" s="236">
        <v>600011235</v>
      </c>
      <c r="J45" s="236">
        <v>11</v>
      </c>
      <c r="K45" s="27"/>
      <c r="L45" s="218">
        <f>L44</f>
        <v>807.65625775350009</v>
      </c>
      <c r="M45" s="210" t="s">
        <v>468</v>
      </c>
      <c r="N45" s="210" t="s">
        <v>565</v>
      </c>
      <c r="O45" s="122"/>
      <c r="P45" s="122"/>
      <c r="Q45" s="122"/>
      <c r="S45" s="18"/>
      <c r="T45" s="78"/>
      <c r="U45" s="15"/>
      <c r="V45" s="15"/>
      <c r="X45" s="46"/>
      <c r="Y45" s="46"/>
    </row>
    <row r="46" spans="1:26" ht="22.5" customHeight="1" x14ac:dyDescent="0.25">
      <c r="B46" s="210">
        <v>5740</v>
      </c>
      <c r="C46" s="208" t="s">
        <v>365</v>
      </c>
      <c r="D46" s="218">
        <f>U40</f>
        <v>1087854.9680559968</v>
      </c>
      <c r="E46" s="218">
        <f>V40</f>
        <v>210883.33425466</v>
      </c>
      <c r="F46" s="210"/>
      <c r="G46" s="236">
        <v>3094</v>
      </c>
      <c r="H46" s="214">
        <v>574002011</v>
      </c>
      <c r="I46" s="210"/>
      <c r="J46" s="210">
        <v>11</v>
      </c>
      <c r="K46" s="27">
        <f>VLOOKUP(B46,'Utfördelat tom aug'!$A$3:$G$28,7,FALSE)</f>
        <v>858269.14066666667</v>
      </c>
      <c r="L46" s="209">
        <f>(D46+E46-K46)/4</f>
        <v>110117.29041099752</v>
      </c>
      <c r="M46" s="210" t="s">
        <v>467</v>
      </c>
      <c r="N46" s="210" t="s">
        <v>565</v>
      </c>
      <c r="O46" s="122"/>
      <c r="P46" s="122"/>
      <c r="Q46" s="122"/>
      <c r="X46" s="46"/>
      <c r="Y46" s="46"/>
    </row>
    <row r="47" spans="1:26" ht="22.5" customHeight="1" x14ac:dyDescent="0.25">
      <c r="B47" s="210"/>
      <c r="C47" s="207"/>
      <c r="D47" s="210"/>
      <c r="E47" s="210"/>
      <c r="F47" s="210"/>
      <c r="G47" s="236">
        <v>3094</v>
      </c>
      <c r="H47" s="210">
        <v>600011235</v>
      </c>
      <c r="I47" s="210"/>
      <c r="J47" s="210">
        <v>11</v>
      </c>
      <c r="K47" s="27"/>
      <c r="L47" s="218">
        <f>L46</f>
        <v>110117.29041099752</v>
      </c>
      <c r="M47" s="210" t="s">
        <v>468</v>
      </c>
      <c r="N47" s="210" t="s">
        <v>565</v>
      </c>
      <c r="O47" s="122"/>
      <c r="P47" s="122"/>
      <c r="Q47" s="122"/>
      <c r="X47" s="46"/>
      <c r="Y47" s="46"/>
    </row>
    <row r="48" spans="1:26" ht="22.5" customHeight="1" x14ac:dyDescent="0.25">
      <c r="A48" s="356"/>
      <c r="B48" s="356"/>
      <c r="C48" s="356"/>
      <c r="D48" s="356"/>
      <c r="E48" s="356"/>
      <c r="F48" s="356"/>
      <c r="G48" s="356"/>
      <c r="H48" s="356"/>
      <c r="I48" s="356"/>
      <c r="J48" s="356"/>
      <c r="K48" s="365"/>
      <c r="L48" s="358"/>
      <c r="M48" s="356"/>
      <c r="N48" s="356"/>
      <c r="O48" s="122"/>
      <c r="P48" s="122"/>
      <c r="Q48" s="122"/>
      <c r="X48" s="46"/>
      <c r="Y48" s="46"/>
    </row>
    <row r="49" spans="3:26" ht="22.5" customHeight="1" x14ac:dyDescent="0.25">
      <c r="D49" s="27">
        <f>SUM(D6:D48)</f>
        <v>6121342.518065583</v>
      </c>
      <c r="E49" s="27">
        <f>SUM(E6:E24,E30:E32,E36:E46)</f>
        <v>1576475.0051950696</v>
      </c>
      <c r="L49" s="218">
        <f>SUM(L6:L47)/2</f>
        <v>603994.10032905219</v>
      </c>
      <c r="P49" s="122"/>
      <c r="Q49" s="122"/>
      <c r="X49" s="46"/>
      <c r="Y49" s="46"/>
      <c r="Z49" s="15"/>
    </row>
    <row r="50" spans="3:26" ht="22.5" customHeight="1" x14ac:dyDescent="0.25">
      <c r="E50" s="350">
        <f>SUM(D49:E49)</f>
        <v>7697817.523260653</v>
      </c>
      <c r="P50" s="122"/>
      <c r="Q50" s="122"/>
      <c r="X50" s="46"/>
      <c r="Y50" s="46"/>
      <c r="Z50" s="15"/>
    </row>
    <row r="51" spans="3:26" ht="22.5" customHeight="1" x14ac:dyDescent="0.25">
      <c r="E51" s="27"/>
      <c r="I51" s="366" t="s">
        <v>369</v>
      </c>
      <c r="J51" s="367"/>
      <c r="K51" s="367"/>
      <c r="L51" s="367"/>
      <c r="M51" s="367"/>
      <c r="N51" s="368"/>
      <c r="O51" s="18"/>
      <c r="P51" s="122"/>
      <c r="Q51" s="122"/>
      <c r="X51" s="46"/>
      <c r="Y51" s="46"/>
      <c r="Z51" s="15"/>
    </row>
    <row r="52" spans="3:26" ht="22.5" customHeight="1" x14ac:dyDescent="0.25">
      <c r="I52" s="369"/>
      <c r="J52" s="365"/>
      <c r="K52" s="365"/>
      <c r="L52" s="365"/>
      <c r="M52" s="365"/>
      <c r="N52" s="370"/>
      <c r="O52" s="18"/>
      <c r="P52" s="122"/>
      <c r="Q52" s="122"/>
      <c r="X52" s="46"/>
      <c r="Y52" s="46"/>
      <c r="Z52" s="15"/>
    </row>
    <row r="53" spans="3:26" ht="22.5" customHeight="1" x14ac:dyDescent="0.25">
      <c r="I53" s="371" t="s">
        <v>826</v>
      </c>
      <c r="J53" s="237"/>
      <c r="K53" s="237"/>
      <c r="L53" s="237"/>
      <c r="M53" s="237"/>
      <c r="N53" s="355"/>
      <c r="O53" s="18"/>
      <c r="P53" s="122"/>
      <c r="Q53" s="122"/>
      <c r="X53" s="46"/>
      <c r="Y53" s="46"/>
    </row>
    <row r="54" spans="3:26" ht="22.5" customHeight="1" x14ac:dyDescent="0.25">
      <c r="C54" s="78"/>
      <c r="D54" s="122"/>
      <c r="E54" s="122"/>
      <c r="O54" s="122"/>
      <c r="P54" s="122"/>
      <c r="Q54" s="122"/>
      <c r="X54" s="46"/>
      <c r="Y54" s="46"/>
    </row>
    <row r="55" spans="3:26" ht="22.5" customHeight="1" x14ac:dyDescent="0.25">
      <c r="I55" s="372" t="s">
        <v>333</v>
      </c>
      <c r="J55" s="367"/>
      <c r="K55" s="367"/>
      <c r="L55" s="367"/>
      <c r="M55" s="367"/>
      <c r="N55" s="368"/>
      <c r="O55" s="122"/>
      <c r="P55" s="122"/>
      <c r="Q55" s="122"/>
      <c r="X55" s="46"/>
      <c r="Y55" s="46"/>
    </row>
    <row r="56" spans="3:26" ht="22.5" customHeight="1" x14ac:dyDescent="0.25">
      <c r="I56" s="369"/>
      <c r="J56" s="365"/>
      <c r="K56" s="365"/>
      <c r="L56" s="365"/>
      <c r="M56" s="365"/>
      <c r="N56" s="370"/>
      <c r="O56" s="122"/>
      <c r="P56" s="122"/>
      <c r="Q56" s="122"/>
      <c r="X56" s="46"/>
      <c r="Y56" s="46"/>
    </row>
    <row r="57" spans="3:26" ht="22.5" customHeight="1" x14ac:dyDescent="0.25">
      <c r="I57" s="371" t="s">
        <v>662</v>
      </c>
      <c r="J57" s="237"/>
      <c r="K57" s="237"/>
      <c r="L57" s="237"/>
      <c r="M57" s="237"/>
      <c r="N57" s="355"/>
      <c r="O57" s="122"/>
      <c r="P57" s="122"/>
      <c r="Q57" s="122"/>
      <c r="X57" s="46"/>
      <c r="Y57" s="46"/>
    </row>
    <row r="58" spans="3:26" ht="22.5" customHeight="1" x14ac:dyDescent="0.25">
      <c r="O58" s="166"/>
      <c r="P58" s="166"/>
      <c r="Q58" s="166"/>
      <c r="X58" s="46"/>
      <c r="Y58" s="46"/>
    </row>
    <row r="59" spans="3:26" ht="22.5" customHeight="1" x14ac:dyDescent="0.25">
      <c r="O59" s="122"/>
      <c r="P59" s="122"/>
      <c r="Q59" s="122"/>
      <c r="X59" s="46"/>
      <c r="Y59" s="46"/>
    </row>
    <row r="60" spans="3:26" ht="22.5" customHeight="1" x14ac:dyDescent="0.25">
      <c r="O60" s="166"/>
      <c r="P60" s="166"/>
      <c r="Q60" s="166"/>
      <c r="X60" s="46"/>
      <c r="Y60" s="46"/>
    </row>
    <row r="61" spans="3:26" ht="22.5" customHeight="1" x14ac:dyDescent="0.25">
      <c r="O61" s="122"/>
      <c r="P61" s="122"/>
      <c r="Q61" s="122"/>
      <c r="X61" s="46"/>
      <c r="Y61" s="46"/>
    </row>
    <row r="62" spans="3:26" ht="22.5" customHeight="1" x14ac:dyDescent="0.25">
      <c r="O62" s="122"/>
      <c r="P62" s="122"/>
      <c r="Q62" s="122"/>
      <c r="X62" s="46"/>
      <c r="Y62" s="46"/>
    </row>
    <row r="63" spans="3:26" ht="22.5" customHeight="1" x14ac:dyDescent="0.25">
      <c r="O63" s="166"/>
      <c r="P63" s="166"/>
      <c r="Q63" s="166"/>
      <c r="X63" s="46"/>
      <c r="Y63" s="46"/>
    </row>
    <row r="64" spans="3:26" ht="22.5" customHeight="1" x14ac:dyDescent="0.25">
      <c r="O64" s="122"/>
      <c r="P64" s="122"/>
      <c r="Q64" s="122"/>
      <c r="X64" s="46"/>
      <c r="Y64" s="46"/>
    </row>
    <row r="65" spans="15:25" ht="25.5" customHeight="1" x14ac:dyDescent="0.25">
      <c r="O65" s="18"/>
      <c r="P65" s="18"/>
      <c r="Q65" s="18"/>
      <c r="X65" s="46"/>
      <c r="Y65" s="46"/>
    </row>
    <row r="66" spans="15:25" ht="15" customHeight="1" x14ac:dyDescent="0.25">
      <c r="O66" s="18"/>
      <c r="P66" s="18"/>
      <c r="Q66" s="18"/>
      <c r="X66" s="46"/>
      <c r="Y66" s="46"/>
    </row>
    <row r="67" spans="15:25" ht="15" customHeight="1" x14ac:dyDescent="0.25">
      <c r="X67" s="46"/>
      <c r="Y67" s="46"/>
    </row>
  </sheetData>
  <sheetProtection sheet="1" objects="1" scenarios="1"/>
  <mergeCells count="2">
    <mergeCell ref="O3:T3"/>
    <mergeCell ref="Y4:Z4"/>
  </mergeCells>
  <printOptions gridLines="1"/>
  <pageMargins left="0.43307086614173229" right="0.39370078740157483" top="0.86614173228346458" bottom="0.78740157480314965" header="0.31496062992125984" footer="0.31496062992125984"/>
  <pageSetup paperSize="9" scale="70" fitToHeight="0" orientation="landscape" cellComments="asDisplayed" r:id="rId1"/>
  <headerFooter>
    <oddHeader xml:space="preserve">&amp;LUMEÅ UNIVERSITET
Lärarhögskolan
Eva Alenius&amp;CVAL - RESURSER
2020&amp;RBOKFÖRINGSORDER
</oddHeader>
    <oddFooter>&amp;L&amp;F&amp;C&amp;A&amp;R&amp;P (&amp;N)</oddFooter>
  </headerFooter>
  <ignoredErrors>
    <ignoredError sqref="L7 L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Z24"/>
  <sheetViews>
    <sheetView zoomScaleNormal="100" workbookViewId="0">
      <selection activeCell="N13" sqref="N13"/>
    </sheetView>
  </sheetViews>
  <sheetFormatPr defaultRowHeight="15" x14ac:dyDescent="0.25"/>
  <cols>
    <col min="1" max="1" width="11.7109375" customWidth="1"/>
    <col min="2" max="2" width="34.5703125" customWidth="1"/>
    <col min="3" max="6" width="15.7109375" customWidth="1"/>
    <col min="7" max="7" width="17.28515625" customWidth="1"/>
    <col min="8" max="12" width="15.7109375" customWidth="1"/>
    <col min="14" max="14" width="9.140625" style="32"/>
    <col min="16" max="16" width="17.28515625" bestFit="1" customWidth="1"/>
    <col min="17" max="17" width="16.85546875" bestFit="1" customWidth="1"/>
    <col min="19" max="19" width="17.28515625" bestFit="1" customWidth="1"/>
    <col min="20" max="20" width="16.85546875" bestFit="1" customWidth="1"/>
    <col min="22" max="22" width="17.28515625" bestFit="1" customWidth="1"/>
    <col min="23" max="23" width="16.85546875" bestFit="1" customWidth="1"/>
    <col min="25" max="25" width="17.5703125" bestFit="1" customWidth="1"/>
    <col min="26" max="26" width="17.28515625" bestFit="1" customWidth="1"/>
  </cols>
  <sheetData>
    <row r="1" spans="1:26" x14ac:dyDescent="0.25">
      <c r="P1" s="430" t="s">
        <v>849</v>
      </c>
      <c r="Q1" s="428"/>
      <c r="S1" s="430" t="s">
        <v>850</v>
      </c>
      <c r="T1" s="428"/>
      <c r="V1" s="430" t="s">
        <v>851</v>
      </c>
      <c r="W1" s="428"/>
      <c r="Y1" s="428" t="s">
        <v>856</v>
      </c>
      <c r="Z1" s="428"/>
    </row>
    <row r="2" spans="1:26" ht="45" x14ac:dyDescent="0.25">
      <c r="A2" s="276" t="s">
        <v>466</v>
      </c>
      <c r="B2" s="276" t="s">
        <v>33</v>
      </c>
      <c r="C2" s="294" t="s">
        <v>906</v>
      </c>
      <c r="D2" s="294" t="s">
        <v>907</v>
      </c>
      <c r="E2" s="294" t="s">
        <v>908</v>
      </c>
      <c r="F2" s="294" t="s">
        <v>909</v>
      </c>
      <c r="G2" s="294" t="s">
        <v>910</v>
      </c>
      <c r="H2" s="294"/>
      <c r="I2" s="294"/>
      <c r="J2" s="294"/>
      <c r="K2" s="294"/>
      <c r="L2" s="294"/>
      <c r="N2" s="431" t="s">
        <v>852</v>
      </c>
      <c r="O2" s="432"/>
      <c r="P2" s="384" t="s">
        <v>358</v>
      </c>
      <c r="Q2" s="384" t="s">
        <v>357</v>
      </c>
      <c r="R2" s="384"/>
      <c r="S2" s="384" t="s">
        <v>358</v>
      </c>
      <c r="T2" s="384" t="s">
        <v>357</v>
      </c>
      <c r="U2" s="384"/>
      <c r="V2" s="385" t="s">
        <v>358</v>
      </c>
      <c r="W2" s="385" t="s">
        <v>357</v>
      </c>
      <c r="Y2" s="385" t="s">
        <v>358</v>
      </c>
      <c r="Z2" s="385" t="s">
        <v>357</v>
      </c>
    </row>
    <row r="3" spans="1:26" x14ac:dyDescent="0.25">
      <c r="N3" s="185"/>
      <c r="O3" s="15"/>
      <c r="P3" s="15"/>
      <c r="Q3" s="15"/>
      <c r="R3" s="15"/>
      <c r="S3" s="15"/>
      <c r="T3" s="15"/>
      <c r="U3" s="15"/>
      <c r="V3" s="41"/>
      <c r="W3" s="41"/>
      <c r="X3" s="15"/>
      <c r="Y3" s="15"/>
      <c r="Z3" s="15"/>
    </row>
    <row r="4" spans="1:26" x14ac:dyDescent="0.25">
      <c r="A4">
        <v>1620</v>
      </c>
      <c r="B4" t="s">
        <v>131</v>
      </c>
      <c r="C4" s="15">
        <v>413901.09375</v>
      </c>
      <c r="D4" s="15">
        <v>69834.375</v>
      </c>
      <c r="E4" s="15">
        <f>C4/12*8</f>
        <v>275934.0625</v>
      </c>
      <c r="F4" s="15">
        <f>D4/12*8</f>
        <v>46556.25</v>
      </c>
      <c r="G4" s="15">
        <f>SUM(E4:F4)</f>
        <v>322490.3125</v>
      </c>
      <c r="H4" s="15"/>
      <c r="I4" s="15"/>
      <c r="J4" s="15"/>
      <c r="K4" s="15"/>
      <c r="L4" s="15"/>
      <c r="N4" s="61">
        <v>1620</v>
      </c>
      <c r="O4" s="15"/>
      <c r="P4" s="15">
        <v>69834.375</v>
      </c>
      <c r="Q4" s="15">
        <v>413901.09375</v>
      </c>
      <c r="R4" s="15"/>
      <c r="S4" s="15"/>
      <c r="T4" s="15"/>
      <c r="U4" s="15"/>
      <c r="V4" s="41"/>
      <c r="W4" s="41"/>
      <c r="X4" s="15"/>
      <c r="Y4" s="15"/>
      <c r="Z4" s="15"/>
    </row>
    <row r="5" spans="1:26" x14ac:dyDescent="0.25">
      <c r="A5">
        <v>1630</v>
      </c>
      <c r="B5" t="s">
        <v>127</v>
      </c>
      <c r="C5" s="15">
        <v>26379</v>
      </c>
      <c r="D5" s="15">
        <v>4425</v>
      </c>
      <c r="E5" s="15">
        <f t="shared" ref="E5:E21" si="0">C5/12*8</f>
        <v>17586</v>
      </c>
      <c r="F5" s="15">
        <f t="shared" ref="F5:F11" si="1">D5/12*8</f>
        <v>2950</v>
      </c>
      <c r="G5" s="15">
        <f t="shared" ref="G5:G7" si="2">SUM(E5:F5)</f>
        <v>20536</v>
      </c>
      <c r="H5" s="15"/>
      <c r="I5" s="15"/>
      <c r="J5" s="15"/>
      <c r="K5" s="15"/>
      <c r="L5" s="15"/>
      <c r="N5" s="18">
        <v>1630</v>
      </c>
      <c r="O5" s="15"/>
      <c r="P5" s="15">
        <v>4425</v>
      </c>
      <c r="Q5" s="15">
        <v>26379</v>
      </c>
      <c r="R5" s="15"/>
      <c r="S5" s="15"/>
      <c r="T5" s="15"/>
      <c r="U5" s="15"/>
      <c r="V5" s="41"/>
      <c r="W5" s="41"/>
      <c r="X5" s="15"/>
      <c r="Y5" s="15"/>
      <c r="Z5" s="15"/>
    </row>
    <row r="6" spans="1:26" x14ac:dyDescent="0.25">
      <c r="A6">
        <v>1640</v>
      </c>
      <c r="B6" t="s">
        <v>128</v>
      </c>
      <c r="C6" s="15">
        <v>0</v>
      </c>
      <c r="D6" s="15">
        <v>0</v>
      </c>
      <c r="E6" s="15">
        <f t="shared" si="0"/>
        <v>0</v>
      </c>
      <c r="F6" s="15">
        <f t="shared" si="1"/>
        <v>0</v>
      </c>
      <c r="G6" s="15">
        <f t="shared" si="2"/>
        <v>0</v>
      </c>
      <c r="H6" s="15"/>
      <c r="I6" s="15"/>
      <c r="J6" s="15"/>
      <c r="K6" s="15"/>
      <c r="L6" s="15"/>
      <c r="N6" s="18">
        <v>1640</v>
      </c>
      <c r="O6" s="15"/>
      <c r="P6" s="15">
        <v>0</v>
      </c>
      <c r="Q6" s="15">
        <v>0</v>
      </c>
      <c r="R6" s="15"/>
      <c r="S6" s="15"/>
      <c r="T6" s="15"/>
      <c r="U6" s="15"/>
      <c r="V6" s="41"/>
      <c r="W6" s="41"/>
      <c r="X6" s="15"/>
      <c r="Y6" s="15"/>
      <c r="Z6" s="15"/>
    </row>
    <row r="7" spans="1:26" x14ac:dyDescent="0.25">
      <c r="A7">
        <v>1650</v>
      </c>
      <c r="B7" t="s">
        <v>9</v>
      </c>
      <c r="C7" s="15">
        <v>1992159.2479999999</v>
      </c>
      <c r="D7" s="386">
        <v>927182.5</v>
      </c>
      <c r="E7" s="15">
        <f t="shared" si="0"/>
        <v>1328106.1653333332</v>
      </c>
      <c r="F7" s="386">
        <f t="shared" si="1"/>
        <v>618121.66666666663</v>
      </c>
      <c r="G7" s="15">
        <f t="shared" si="2"/>
        <v>1946227.8319999999</v>
      </c>
      <c r="H7" s="15"/>
      <c r="I7" s="15"/>
      <c r="J7" s="15"/>
      <c r="K7" s="15"/>
      <c r="L7" s="15"/>
      <c r="N7" s="162">
        <v>1650</v>
      </c>
      <c r="O7" s="15"/>
      <c r="P7" s="15">
        <v>927182.5</v>
      </c>
      <c r="Q7" s="15">
        <v>1992159.2479999999</v>
      </c>
      <c r="R7" s="15"/>
      <c r="S7" s="15"/>
      <c r="T7" s="15"/>
      <c r="U7" s="15"/>
      <c r="V7" s="41"/>
      <c r="W7" s="41"/>
      <c r="X7" s="15"/>
      <c r="Y7" s="15"/>
      <c r="Z7" s="15"/>
    </row>
    <row r="8" spans="1:26" x14ac:dyDescent="0.25">
      <c r="A8">
        <v>2180</v>
      </c>
      <c r="B8" t="s">
        <v>147</v>
      </c>
      <c r="C8" s="15">
        <v>923054.58699999994</v>
      </c>
      <c r="D8" s="417">
        <v>110443.33333333333</v>
      </c>
      <c r="E8" s="15">
        <f t="shared" si="0"/>
        <v>615369.72466666659</v>
      </c>
      <c r="F8" s="417">
        <f t="shared" si="1"/>
        <v>73628.888888888891</v>
      </c>
      <c r="G8" s="15">
        <f>E8</f>
        <v>615369.72466666659</v>
      </c>
      <c r="H8" s="15"/>
      <c r="I8" s="15"/>
      <c r="J8" s="15"/>
      <c r="K8" s="15"/>
      <c r="L8" s="15"/>
      <c r="N8" s="18">
        <v>2180</v>
      </c>
      <c r="O8" s="15"/>
      <c r="P8" s="15">
        <v>110443.33333333333</v>
      </c>
      <c r="Q8" s="15">
        <v>923054.58699999994</v>
      </c>
      <c r="R8" s="15"/>
      <c r="S8" s="15"/>
      <c r="T8" s="15"/>
      <c r="U8" s="15"/>
      <c r="V8" s="41"/>
      <c r="W8" s="41"/>
      <c r="X8" s="15"/>
      <c r="Y8" s="15"/>
      <c r="Z8" s="15"/>
    </row>
    <row r="9" spans="1:26" x14ac:dyDescent="0.25">
      <c r="A9">
        <v>2193</v>
      </c>
      <c r="B9" t="s">
        <v>347</v>
      </c>
      <c r="C9" s="15">
        <v>1565886.4140000001</v>
      </c>
      <c r="D9" s="417">
        <v>168248.33333333331</v>
      </c>
      <c r="E9" s="15">
        <f t="shared" si="0"/>
        <v>1043924.2760000001</v>
      </c>
      <c r="F9" s="417">
        <f t="shared" si="1"/>
        <v>112165.55555555555</v>
      </c>
      <c r="G9" s="15">
        <f t="shared" ref="G9:G12" si="3">E9</f>
        <v>1043924.2760000001</v>
      </c>
      <c r="H9" s="15"/>
      <c r="I9" s="15"/>
      <c r="J9" s="15"/>
      <c r="K9" s="15"/>
      <c r="L9" s="15"/>
      <c r="N9" s="18">
        <v>2193</v>
      </c>
      <c r="O9" s="15"/>
      <c r="P9" s="15">
        <v>168248.33333333331</v>
      </c>
      <c r="Q9" s="15">
        <v>1565886.4140000001</v>
      </c>
      <c r="R9" s="15"/>
      <c r="S9" s="15"/>
      <c r="T9" s="15"/>
      <c r="U9" s="15"/>
      <c r="V9" s="41"/>
      <c r="W9" s="41"/>
      <c r="X9" s="15"/>
      <c r="Y9" s="15"/>
      <c r="Z9" s="15"/>
    </row>
    <row r="10" spans="1:26" x14ac:dyDescent="0.25">
      <c r="A10">
        <v>2200</v>
      </c>
      <c r="B10" s="38" t="s">
        <v>898</v>
      </c>
      <c r="C10" s="15">
        <v>19175.212499999998</v>
      </c>
      <c r="D10" s="417">
        <v>2950</v>
      </c>
      <c r="E10" s="15">
        <f t="shared" si="0"/>
        <v>12783.474999999999</v>
      </c>
      <c r="F10" s="417">
        <f t="shared" si="1"/>
        <v>1966.6666666666667</v>
      </c>
      <c r="G10" s="15">
        <f t="shared" si="3"/>
        <v>12783.474999999999</v>
      </c>
      <c r="H10" s="15"/>
      <c r="I10" s="15"/>
      <c r="J10" s="15"/>
      <c r="K10" s="15"/>
      <c r="L10" s="15"/>
      <c r="N10">
        <v>2200</v>
      </c>
      <c r="O10" s="15"/>
      <c r="P10" s="15">
        <v>2950</v>
      </c>
      <c r="Q10" s="15">
        <v>19175.212499999998</v>
      </c>
      <c r="R10" s="15"/>
      <c r="S10" s="15"/>
      <c r="T10" s="15"/>
      <c r="U10" s="15"/>
      <c r="V10" s="41"/>
      <c r="W10" s="41"/>
      <c r="X10" s="15"/>
      <c r="Y10" s="15"/>
      <c r="Z10" s="15"/>
    </row>
    <row r="11" spans="1:26" x14ac:dyDescent="0.25">
      <c r="A11">
        <v>2300</v>
      </c>
      <c r="B11" s="38" t="s">
        <v>759</v>
      </c>
      <c r="C11" s="15">
        <v>0</v>
      </c>
      <c r="D11" s="417">
        <v>0</v>
      </c>
      <c r="E11" s="15">
        <f t="shared" si="0"/>
        <v>0</v>
      </c>
      <c r="F11" s="417">
        <f t="shared" si="1"/>
        <v>0</v>
      </c>
      <c r="G11" s="15">
        <f t="shared" si="3"/>
        <v>0</v>
      </c>
      <c r="H11" s="15"/>
      <c r="I11" s="15"/>
      <c r="J11" s="15"/>
      <c r="K11" s="15"/>
      <c r="L11" s="15"/>
      <c r="N11" s="18">
        <v>2300</v>
      </c>
      <c r="O11" s="15"/>
      <c r="P11" s="15">
        <v>0</v>
      </c>
      <c r="Q11" s="15">
        <v>0</v>
      </c>
      <c r="R11" s="15"/>
      <c r="S11" s="15"/>
      <c r="T11" s="15"/>
      <c r="U11" s="15"/>
      <c r="V11" s="41"/>
      <c r="W11" s="41"/>
      <c r="X11" s="15"/>
      <c r="Y11" s="15"/>
      <c r="Z11" s="15"/>
    </row>
    <row r="12" spans="1:26" x14ac:dyDescent="0.25">
      <c r="A12">
        <v>2650</v>
      </c>
      <c r="B12" t="s">
        <v>160</v>
      </c>
      <c r="C12" s="15">
        <v>311089.5</v>
      </c>
      <c r="D12" s="417">
        <v>90937.5</v>
      </c>
      <c r="E12" s="15">
        <f t="shared" si="0"/>
        <v>207393</v>
      </c>
      <c r="F12" s="417">
        <f>D12/12*8</f>
        <v>60625</v>
      </c>
      <c r="G12" s="15">
        <f t="shared" si="3"/>
        <v>207393</v>
      </c>
      <c r="H12" s="15"/>
      <c r="I12" s="15"/>
      <c r="J12" s="15"/>
      <c r="K12" s="15"/>
      <c r="L12" s="15"/>
      <c r="N12" s="197">
        <v>2650</v>
      </c>
      <c r="P12" s="15">
        <v>90937.5</v>
      </c>
      <c r="Q12" s="15">
        <v>311089.5</v>
      </c>
      <c r="R12" s="15"/>
      <c r="S12" s="15"/>
      <c r="T12" s="15"/>
      <c r="U12" s="15"/>
      <c r="V12" s="15"/>
      <c r="W12" s="15"/>
      <c r="X12" s="15"/>
      <c r="Y12" s="15"/>
      <c r="Z12" s="15"/>
    </row>
    <row r="13" spans="1:26" x14ac:dyDescent="0.25">
      <c r="A13">
        <v>2000</v>
      </c>
      <c r="B13" t="s">
        <v>366</v>
      </c>
      <c r="C13" s="15"/>
      <c r="D13" s="15">
        <f>SUM(D8:D12)</f>
        <v>372579.16666666663</v>
      </c>
      <c r="E13" s="15">
        <f t="shared" si="0"/>
        <v>0</v>
      </c>
      <c r="F13" s="387">
        <f>D13/12*8</f>
        <v>248386.11111111109</v>
      </c>
      <c r="G13" s="41">
        <f>SUM(E13:F13)</f>
        <v>248386.11111111109</v>
      </c>
      <c r="H13" s="15"/>
      <c r="I13" s="15"/>
      <c r="J13" s="15"/>
      <c r="K13" s="15"/>
      <c r="L13" s="15"/>
      <c r="N13" s="185">
        <v>2000</v>
      </c>
      <c r="O13" s="15"/>
      <c r="P13" s="15"/>
      <c r="Q13" s="15"/>
      <c r="R13" s="15"/>
      <c r="S13" s="15"/>
      <c r="T13" s="15"/>
      <c r="U13" s="15"/>
      <c r="V13" s="41"/>
      <c r="W13" s="41"/>
      <c r="X13" s="15"/>
      <c r="Y13" s="15"/>
      <c r="Z13" s="15"/>
    </row>
    <row r="14" spans="1:26" x14ac:dyDescent="0.25">
      <c r="A14">
        <v>3306</v>
      </c>
      <c r="B14" t="s">
        <v>197</v>
      </c>
      <c r="C14" s="15">
        <v>0</v>
      </c>
      <c r="D14" s="15">
        <v>0</v>
      </c>
      <c r="E14" s="15">
        <f t="shared" si="0"/>
        <v>0</v>
      </c>
      <c r="F14" s="15">
        <f>D14/12*8</f>
        <v>0</v>
      </c>
      <c r="G14" s="15">
        <f>SUM(E14:F14)</f>
        <v>0</v>
      </c>
      <c r="H14" s="15"/>
      <c r="I14" s="15"/>
      <c r="J14" s="15"/>
      <c r="K14" s="15"/>
      <c r="L14" s="15"/>
      <c r="N14" s="185">
        <v>3306</v>
      </c>
      <c r="O14" s="15"/>
      <c r="P14" s="15">
        <v>0</v>
      </c>
      <c r="Q14" s="15">
        <v>0</v>
      </c>
      <c r="R14" s="15"/>
      <c r="S14" s="15"/>
      <c r="T14" s="15"/>
      <c r="U14" s="15"/>
      <c r="V14" s="41"/>
      <c r="W14" s="41"/>
      <c r="X14" s="15"/>
      <c r="Y14" s="15"/>
      <c r="Z14" s="15"/>
    </row>
    <row r="15" spans="1:26" x14ac:dyDescent="0.25">
      <c r="A15">
        <v>3850</v>
      </c>
      <c r="B15" t="s">
        <v>470</v>
      </c>
      <c r="C15" s="15">
        <v>6253.165</v>
      </c>
      <c r="D15" s="15">
        <v>2933.333333333333</v>
      </c>
      <c r="E15" s="15">
        <v>0</v>
      </c>
      <c r="F15" s="15">
        <v>0</v>
      </c>
      <c r="G15" s="15">
        <f>SUM(E15:F15)</f>
        <v>0</v>
      </c>
      <c r="H15" s="15"/>
      <c r="I15" s="15"/>
      <c r="J15" s="15"/>
      <c r="K15" s="15"/>
      <c r="L15" s="15"/>
      <c r="N15" s="61">
        <v>3850</v>
      </c>
      <c r="O15" s="15"/>
      <c r="P15" s="15">
        <v>2933.333333333333</v>
      </c>
      <c r="Q15" s="15">
        <v>6253.165</v>
      </c>
      <c r="R15" s="15"/>
      <c r="S15" s="15"/>
      <c r="T15" s="15"/>
      <c r="U15" s="15"/>
      <c r="V15" s="41"/>
      <c r="W15" s="41"/>
      <c r="X15" s="15"/>
      <c r="Y15" s="15"/>
      <c r="Z15" s="15"/>
    </row>
    <row r="16" spans="1:26" x14ac:dyDescent="0.25">
      <c r="A16">
        <v>5100</v>
      </c>
      <c r="B16" t="s">
        <v>119</v>
      </c>
      <c r="C16" s="15">
        <v>0</v>
      </c>
      <c r="D16" s="15">
        <v>0</v>
      </c>
      <c r="E16" s="15">
        <f t="shared" si="0"/>
        <v>0</v>
      </c>
      <c r="F16" s="15">
        <f t="shared" ref="F16:F20" si="4">D16/12*8</f>
        <v>0</v>
      </c>
      <c r="G16" s="15">
        <f t="shared" ref="G16:G19" si="5">SUM(E16:F16)</f>
        <v>0</v>
      </c>
      <c r="H16" s="15"/>
      <c r="I16" s="15"/>
      <c r="J16" s="15"/>
      <c r="K16" s="15"/>
      <c r="L16" s="15"/>
      <c r="N16">
        <v>5100</v>
      </c>
      <c r="O16" s="15"/>
      <c r="P16" s="15">
        <v>0</v>
      </c>
      <c r="Q16" s="15">
        <v>0</v>
      </c>
      <c r="R16" s="15"/>
      <c r="S16" s="15"/>
      <c r="T16" s="15"/>
      <c r="U16" s="15"/>
      <c r="V16" s="41"/>
      <c r="W16" s="41"/>
      <c r="X16" s="15"/>
      <c r="Y16" s="15"/>
      <c r="Z16" s="15"/>
    </row>
    <row r="17" spans="1:26" x14ac:dyDescent="0.25">
      <c r="A17">
        <v>5400</v>
      </c>
      <c r="B17" t="s">
        <v>263</v>
      </c>
      <c r="C17" s="15">
        <v>0</v>
      </c>
      <c r="D17" s="15">
        <v>0</v>
      </c>
      <c r="E17" s="15">
        <f t="shared" si="0"/>
        <v>0</v>
      </c>
      <c r="F17" s="15">
        <f t="shared" si="4"/>
        <v>0</v>
      </c>
      <c r="G17" s="15">
        <f t="shared" si="5"/>
        <v>0</v>
      </c>
      <c r="H17" s="15"/>
      <c r="I17" s="15"/>
      <c r="J17" s="15"/>
      <c r="K17" s="15"/>
      <c r="L17" s="15"/>
      <c r="N17">
        <v>5400</v>
      </c>
      <c r="O17" s="15"/>
      <c r="P17" s="15">
        <v>0</v>
      </c>
      <c r="Q17" s="15">
        <v>0</v>
      </c>
      <c r="R17" s="15"/>
      <c r="S17" s="15"/>
      <c r="T17" s="15"/>
      <c r="U17" s="15"/>
      <c r="V17" s="41"/>
      <c r="W17" s="41"/>
      <c r="X17" s="15"/>
      <c r="Y17" s="15"/>
      <c r="Z17" s="15"/>
    </row>
    <row r="18" spans="1:26" x14ac:dyDescent="0.25">
      <c r="A18">
        <v>5410</v>
      </c>
      <c r="B18" t="s">
        <v>497</v>
      </c>
      <c r="C18" s="15">
        <v>0</v>
      </c>
      <c r="D18" s="15">
        <v>0</v>
      </c>
      <c r="E18" s="15">
        <f t="shared" si="0"/>
        <v>0</v>
      </c>
      <c r="F18" s="15">
        <f t="shared" si="4"/>
        <v>0</v>
      </c>
      <c r="G18" s="15">
        <f>SUM(E18:F18)</f>
        <v>0</v>
      </c>
      <c r="H18" s="15"/>
      <c r="I18" s="15"/>
      <c r="J18" s="15"/>
      <c r="K18" s="15"/>
      <c r="L18" s="15"/>
      <c r="N18">
        <v>5410</v>
      </c>
      <c r="O18" s="15"/>
      <c r="P18" s="15">
        <v>0</v>
      </c>
      <c r="Q18" s="15">
        <v>0</v>
      </c>
      <c r="R18" s="15"/>
      <c r="S18" s="15"/>
      <c r="T18" s="15"/>
      <c r="U18" s="15"/>
      <c r="V18" s="41"/>
      <c r="W18" s="41"/>
      <c r="X18" s="15"/>
      <c r="Y18" s="15"/>
      <c r="Z18" s="15"/>
    </row>
    <row r="19" spans="1:26" x14ac:dyDescent="0.25">
      <c r="A19">
        <v>5500</v>
      </c>
      <c r="B19" s="38" t="s">
        <v>760</v>
      </c>
      <c r="C19" s="15">
        <v>0</v>
      </c>
      <c r="D19" s="15">
        <v>0</v>
      </c>
      <c r="E19" s="15">
        <f t="shared" si="0"/>
        <v>0</v>
      </c>
      <c r="F19" s="15">
        <f t="shared" si="4"/>
        <v>0</v>
      </c>
      <c r="G19" s="15">
        <f t="shared" si="5"/>
        <v>0</v>
      </c>
      <c r="H19" s="15"/>
      <c r="I19" s="15"/>
      <c r="J19" s="15"/>
      <c r="K19" s="15"/>
      <c r="L19" s="15"/>
      <c r="N19">
        <v>5500</v>
      </c>
      <c r="O19" s="15"/>
      <c r="P19" s="15">
        <v>0</v>
      </c>
      <c r="Q19" s="15">
        <v>0</v>
      </c>
      <c r="R19" s="15"/>
      <c r="S19" s="15"/>
      <c r="T19" s="15"/>
      <c r="U19" s="15"/>
      <c r="V19" s="41"/>
      <c r="W19" s="41"/>
      <c r="X19" s="15"/>
      <c r="Y19" s="15"/>
      <c r="Z19" s="15"/>
    </row>
    <row r="20" spans="1:26" x14ac:dyDescent="0.25">
      <c r="A20">
        <v>5730</v>
      </c>
      <c r="B20" t="s">
        <v>121</v>
      </c>
      <c r="C20" s="15">
        <v>6916.875</v>
      </c>
      <c r="D20" s="15">
        <v>2775</v>
      </c>
      <c r="E20" s="15">
        <f t="shared" si="0"/>
        <v>4611.25</v>
      </c>
      <c r="F20" s="15">
        <f t="shared" si="4"/>
        <v>1850</v>
      </c>
      <c r="G20" s="15">
        <f>SUM(E20:F20)</f>
        <v>6461.25</v>
      </c>
      <c r="H20" s="15"/>
      <c r="I20" s="15"/>
      <c r="J20" s="15"/>
      <c r="K20" s="15"/>
      <c r="L20" s="15"/>
      <c r="N20">
        <v>5730</v>
      </c>
      <c r="O20" s="15"/>
      <c r="P20" s="15">
        <v>2775</v>
      </c>
      <c r="Q20" s="15">
        <v>6916.875</v>
      </c>
      <c r="R20" s="15"/>
      <c r="S20" s="15"/>
      <c r="T20" s="15"/>
      <c r="U20" s="15"/>
      <c r="V20" s="41"/>
      <c r="W20" s="41"/>
      <c r="X20" s="15"/>
      <c r="Y20" s="15"/>
      <c r="Z20" s="15"/>
    </row>
    <row r="21" spans="1:26" x14ac:dyDescent="0.25">
      <c r="A21">
        <v>5740</v>
      </c>
      <c r="B21" t="s">
        <v>365</v>
      </c>
      <c r="C21" s="15">
        <v>1112823.7110000001</v>
      </c>
      <c r="D21" s="15">
        <v>174580</v>
      </c>
      <c r="E21" s="15">
        <f t="shared" si="0"/>
        <v>741882.47400000005</v>
      </c>
      <c r="F21" s="15">
        <f>D21/12*8</f>
        <v>116386.66666666667</v>
      </c>
      <c r="G21" s="15">
        <f>SUM(E21:F21)</f>
        <v>858269.14066666667</v>
      </c>
      <c r="H21" s="15"/>
      <c r="I21" s="15"/>
      <c r="J21" s="15"/>
      <c r="K21" s="15"/>
      <c r="L21" s="15"/>
      <c r="N21" s="18">
        <v>5740</v>
      </c>
      <c r="P21" s="15">
        <v>174580</v>
      </c>
      <c r="Q21" s="15">
        <v>1112823.7110000001</v>
      </c>
      <c r="X21" s="15"/>
      <c r="Y21" s="15"/>
    </row>
    <row r="22" spans="1:26" x14ac:dyDescent="0.25">
      <c r="X22" s="15"/>
      <c r="Y22" s="15"/>
    </row>
    <row r="23" spans="1:26" x14ac:dyDescent="0.25">
      <c r="X23" s="15"/>
      <c r="Y23" s="15"/>
    </row>
    <row r="24" spans="1:26" x14ac:dyDescent="0.25">
      <c r="G24" s="391"/>
    </row>
  </sheetData>
  <sheetProtection sheet="1" objects="1" scenarios="1"/>
  <mergeCells count="5">
    <mergeCell ref="P1:Q1"/>
    <mergeCell ref="S1:T1"/>
    <mergeCell ref="V1:W1"/>
    <mergeCell ref="Y1:Z1"/>
    <mergeCell ref="N2:O2"/>
  </mergeCells>
  <pageMargins left="0.7" right="0.7" top="0.75" bottom="0.75" header="0.3" footer="0.3"/>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12"/>
    <pageSetUpPr fitToPage="1"/>
  </sheetPr>
  <dimension ref="A1:M291"/>
  <sheetViews>
    <sheetView workbookViewId="0">
      <selection activeCell="J14" sqref="J14"/>
    </sheetView>
  </sheetViews>
  <sheetFormatPr defaultColWidth="10.42578125" defaultRowHeight="15" x14ac:dyDescent="0.25"/>
  <cols>
    <col min="1" max="1" width="12.42578125" style="1" bestFit="1" customWidth="1"/>
    <col min="2" max="2" width="9.5703125" customWidth="1"/>
    <col min="3" max="3" width="43.7109375" style="30" customWidth="1"/>
    <col min="4" max="4" width="16" customWidth="1"/>
    <col min="5" max="5" width="53.140625" customWidth="1"/>
    <col min="6" max="6" width="28" customWidth="1"/>
    <col min="7" max="7" width="10" customWidth="1"/>
    <col min="8" max="8" width="5.5703125" customWidth="1"/>
    <col min="9" max="9" width="10.7109375" customWidth="1"/>
    <col min="10" max="11" width="10.28515625" customWidth="1"/>
    <col min="12" max="12" width="11.42578125" bestFit="1" customWidth="1"/>
  </cols>
  <sheetData>
    <row r="1" spans="1:13" ht="15.75" x14ac:dyDescent="0.25">
      <c r="A1" s="433" t="s">
        <v>7</v>
      </c>
      <c r="B1" s="433"/>
      <c r="C1" s="433"/>
      <c r="D1" s="433"/>
      <c r="E1" s="433"/>
    </row>
    <row r="2" spans="1:13" x14ac:dyDescent="0.25">
      <c r="A2" s="419"/>
      <c r="B2" s="419"/>
      <c r="C2" s="419"/>
      <c r="D2" s="419"/>
      <c r="E2" s="419"/>
      <c r="F2" s="419"/>
      <c r="G2" s="419"/>
      <c r="H2" s="60" t="s">
        <v>2</v>
      </c>
    </row>
    <row r="3" spans="1:13" s="65" customFormat="1" ht="45" x14ac:dyDescent="0.25">
      <c r="A3" s="161" t="s">
        <v>70</v>
      </c>
      <c r="B3" s="60" t="s">
        <v>312</v>
      </c>
      <c r="C3" s="420" t="s">
        <v>280</v>
      </c>
      <c r="D3" s="420" t="s">
        <v>57</v>
      </c>
      <c r="E3" s="420" t="s">
        <v>113</v>
      </c>
      <c r="F3" s="420" t="s">
        <v>0</v>
      </c>
      <c r="G3" s="161" t="s">
        <v>8</v>
      </c>
      <c r="H3" s="276" t="s">
        <v>354</v>
      </c>
      <c r="I3" s="276" t="s">
        <v>330</v>
      </c>
      <c r="J3" s="276" t="s">
        <v>363</v>
      </c>
      <c r="K3" s="276" t="s">
        <v>480</v>
      </c>
      <c r="L3" s="30"/>
      <c r="M3" s="30"/>
    </row>
    <row r="4" spans="1:13" x14ac:dyDescent="0.25">
      <c r="A4" t="s">
        <v>67</v>
      </c>
      <c r="B4">
        <v>3306</v>
      </c>
      <c r="C4" s="419" t="s">
        <v>197</v>
      </c>
      <c r="D4" t="s">
        <v>695</v>
      </c>
      <c r="E4" t="s">
        <v>392</v>
      </c>
      <c r="F4" t="s">
        <v>147</v>
      </c>
      <c r="G4" s="273">
        <v>0.25</v>
      </c>
      <c r="H4" s="281">
        <v>0</v>
      </c>
      <c r="I4" s="281">
        <v>0</v>
      </c>
      <c r="J4" s="35">
        <v>0</v>
      </c>
      <c r="K4" s="35">
        <v>0</v>
      </c>
    </row>
    <row r="5" spans="1:13" x14ac:dyDescent="0.25">
      <c r="A5"/>
      <c r="C5" s="419"/>
      <c r="D5" t="s">
        <v>743</v>
      </c>
      <c r="E5" t="s">
        <v>753</v>
      </c>
      <c r="F5" t="s">
        <v>147</v>
      </c>
      <c r="G5" s="273">
        <v>0.25</v>
      </c>
      <c r="H5" s="281">
        <v>0</v>
      </c>
      <c r="I5" s="281">
        <v>0</v>
      </c>
      <c r="J5" s="35">
        <v>0</v>
      </c>
      <c r="K5" s="35">
        <v>0</v>
      </c>
    </row>
    <row r="6" spans="1:13" x14ac:dyDescent="0.25">
      <c r="A6"/>
      <c r="B6" t="s">
        <v>511</v>
      </c>
      <c r="C6"/>
      <c r="H6" s="281">
        <v>0</v>
      </c>
      <c r="I6" s="281">
        <v>0</v>
      </c>
      <c r="J6" s="35">
        <v>0</v>
      </c>
      <c r="K6" s="35">
        <v>0</v>
      </c>
    </row>
    <row r="7" spans="1:13" x14ac:dyDescent="0.25">
      <c r="A7"/>
      <c r="B7">
        <v>3850</v>
      </c>
      <c r="C7" s="419" t="s">
        <v>470</v>
      </c>
      <c r="D7" t="s">
        <v>399</v>
      </c>
      <c r="E7" t="s">
        <v>400</v>
      </c>
      <c r="F7" t="s">
        <v>147</v>
      </c>
      <c r="G7" s="273">
        <v>0.16666666666666666</v>
      </c>
      <c r="H7" s="281">
        <v>0</v>
      </c>
      <c r="I7" s="281">
        <v>0</v>
      </c>
      <c r="J7" s="35">
        <v>0</v>
      </c>
      <c r="K7" s="35">
        <v>0</v>
      </c>
    </row>
    <row r="8" spans="1:13" x14ac:dyDescent="0.25">
      <c r="A8"/>
      <c r="C8" s="419"/>
      <c r="D8" t="s">
        <v>712</v>
      </c>
      <c r="E8" t="s">
        <v>724</v>
      </c>
      <c r="F8" t="s">
        <v>147</v>
      </c>
      <c r="G8" s="273">
        <v>0.16666666666666666</v>
      </c>
      <c r="H8" s="281">
        <v>8.3333333999999995E-2</v>
      </c>
      <c r="I8" s="281">
        <v>8.3333333999999995E-2</v>
      </c>
      <c r="J8" s="35">
        <v>6253.165050025319</v>
      </c>
      <c r="K8" s="35">
        <v>2933.3333567999998</v>
      </c>
    </row>
    <row r="9" spans="1:13" x14ac:dyDescent="0.25">
      <c r="A9"/>
      <c r="B9" t="s">
        <v>812</v>
      </c>
      <c r="C9"/>
      <c r="H9" s="281">
        <v>8.3333333999999995E-2</v>
      </c>
      <c r="I9" s="281">
        <v>8.3333333999999995E-2</v>
      </c>
      <c r="J9" s="35">
        <v>6253.165050025319</v>
      </c>
      <c r="K9" s="35">
        <v>2933.3333567999998</v>
      </c>
    </row>
    <row r="10" spans="1:13" x14ac:dyDescent="0.25">
      <c r="A10" s="273" t="s">
        <v>442</v>
      </c>
      <c r="B10" s="273"/>
      <c r="C10" s="273"/>
      <c r="D10" s="273"/>
      <c r="E10" s="273"/>
      <c r="F10" s="273"/>
      <c r="G10" s="273"/>
      <c r="H10" s="281">
        <v>8.3333333999999995E-2</v>
      </c>
      <c r="I10" s="281">
        <v>8.3333333999999995E-2</v>
      </c>
      <c r="J10" s="35">
        <v>6253.165050025319</v>
      </c>
      <c r="K10" s="35">
        <v>2933.3333567999998</v>
      </c>
    </row>
    <row r="11" spans="1:13" x14ac:dyDescent="0.25">
      <c r="A11" t="s">
        <v>66</v>
      </c>
      <c r="B11">
        <v>2180</v>
      </c>
      <c r="C11" s="419" t="s">
        <v>147</v>
      </c>
      <c r="D11" t="s">
        <v>524</v>
      </c>
      <c r="E11" t="s">
        <v>528</v>
      </c>
      <c r="F11" t="s">
        <v>365</v>
      </c>
      <c r="G11" s="273">
        <v>0.26666666666666666</v>
      </c>
      <c r="H11" s="281">
        <v>0</v>
      </c>
      <c r="I11" s="281">
        <v>0</v>
      </c>
      <c r="J11" s="35">
        <v>0</v>
      </c>
      <c r="K11" s="35">
        <v>0</v>
      </c>
    </row>
    <row r="12" spans="1:13" x14ac:dyDescent="0.25">
      <c r="A12"/>
      <c r="C12" s="419"/>
      <c r="D12" t="s">
        <v>526</v>
      </c>
      <c r="E12" t="s">
        <v>530</v>
      </c>
      <c r="F12" t="s">
        <v>365</v>
      </c>
      <c r="G12" s="273">
        <v>0.26666666666666666</v>
      </c>
      <c r="H12" s="281">
        <v>0</v>
      </c>
      <c r="I12" s="281">
        <v>0</v>
      </c>
      <c r="J12" s="35">
        <v>0</v>
      </c>
      <c r="K12" s="35">
        <v>0</v>
      </c>
    </row>
    <row r="13" spans="1:13" x14ac:dyDescent="0.25">
      <c r="A13"/>
      <c r="C13" s="419"/>
      <c r="D13" t="s">
        <v>532</v>
      </c>
      <c r="E13" t="s">
        <v>537</v>
      </c>
      <c r="F13" t="s">
        <v>499</v>
      </c>
      <c r="G13" s="273">
        <v>0.26666666666666666</v>
      </c>
      <c r="H13" s="281">
        <v>1.2333333285333334</v>
      </c>
      <c r="I13" s="281">
        <v>1.2333333285333334</v>
      </c>
      <c r="J13" s="35">
        <v>63699.791752087309</v>
      </c>
      <c r="K13" s="35">
        <v>7276.6666383466672</v>
      </c>
    </row>
    <row r="14" spans="1:13" x14ac:dyDescent="0.25">
      <c r="A14"/>
      <c r="C14" s="419"/>
      <c r="D14" t="s">
        <v>607</v>
      </c>
      <c r="E14" t="s">
        <v>632</v>
      </c>
      <c r="F14" t="s">
        <v>365</v>
      </c>
      <c r="G14" s="273">
        <v>0.26666666666666666</v>
      </c>
      <c r="H14" s="281">
        <v>3.1666667020000001</v>
      </c>
      <c r="I14" s="281">
        <v>3.1666667020000001</v>
      </c>
      <c r="J14" s="35">
        <v>163553.52182491298</v>
      </c>
      <c r="K14" s="35">
        <v>18683.333541800002</v>
      </c>
    </row>
    <row r="15" spans="1:13" x14ac:dyDescent="0.25">
      <c r="A15"/>
      <c r="B15" t="s">
        <v>441</v>
      </c>
      <c r="C15"/>
      <c r="H15" s="281">
        <v>4.4000000305333336</v>
      </c>
      <c r="I15" s="281">
        <v>4.4000000305333336</v>
      </c>
      <c r="J15" s="35">
        <v>227253.31357700028</v>
      </c>
      <c r="K15" s="35">
        <v>25960.000180146671</v>
      </c>
    </row>
    <row r="16" spans="1:13" x14ac:dyDescent="0.25">
      <c r="A16"/>
      <c r="B16">
        <v>2193</v>
      </c>
      <c r="C16" s="419" t="s">
        <v>499</v>
      </c>
      <c r="D16" t="s">
        <v>524</v>
      </c>
      <c r="E16" t="s">
        <v>528</v>
      </c>
      <c r="F16" t="s">
        <v>365</v>
      </c>
      <c r="G16" s="273">
        <v>0.26666666666666666</v>
      </c>
      <c r="H16" s="281">
        <v>0</v>
      </c>
      <c r="I16" s="281">
        <v>0</v>
      </c>
      <c r="J16" s="35">
        <v>0</v>
      </c>
      <c r="K16" s="35">
        <v>0</v>
      </c>
    </row>
    <row r="17" spans="1:11" x14ac:dyDescent="0.25">
      <c r="A17"/>
      <c r="C17" s="419"/>
      <c r="D17" t="s">
        <v>526</v>
      </c>
      <c r="E17" t="s">
        <v>530</v>
      </c>
      <c r="F17" t="s">
        <v>365</v>
      </c>
      <c r="G17" s="273">
        <v>0.26666666666666666</v>
      </c>
      <c r="H17" s="281">
        <v>0</v>
      </c>
      <c r="I17" s="281">
        <v>0</v>
      </c>
      <c r="J17" s="35">
        <v>0</v>
      </c>
      <c r="K17" s="35">
        <v>0</v>
      </c>
    </row>
    <row r="18" spans="1:11" x14ac:dyDescent="0.25">
      <c r="A18"/>
      <c r="C18" s="419"/>
      <c r="D18" t="s">
        <v>535</v>
      </c>
      <c r="E18" t="s">
        <v>540</v>
      </c>
      <c r="F18" t="s">
        <v>147</v>
      </c>
      <c r="G18" s="273">
        <v>0.26666666666666666</v>
      </c>
      <c r="H18" s="281">
        <v>1.1666666719999998</v>
      </c>
      <c r="I18" s="281">
        <v>1.1666666719999998</v>
      </c>
      <c r="J18" s="35">
        <v>60256.560275458549</v>
      </c>
      <c r="K18" s="35">
        <v>6883.3333647999989</v>
      </c>
    </row>
    <row r="19" spans="1:11" x14ac:dyDescent="0.25">
      <c r="A19"/>
      <c r="C19" s="419"/>
      <c r="D19" t="s">
        <v>607</v>
      </c>
      <c r="E19" t="s">
        <v>632</v>
      </c>
      <c r="F19" t="s">
        <v>365</v>
      </c>
      <c r="G19" s="273">
        <v>0.26666666666666666</v>
      </c>
      <c r="H19" s="281">
        <v>3.1666667020000001</v>
      </c>
      <c r="I19" s="281">
        <v>3.1666667020000001</v>
      </c>
      <c r="J19" s="35">
        <v>163553.52182491298</v>
      </c>
      <c r="K19" s="35">
        <v>18683.333541800002</v>
      </c>
    </row>
    <row r="20" spans="1:11" x14ac:dyDescent="0.25">
      <c r="A20"/>
      <c r="B20" t="s">
        <v>476</v>
      </c>
      <c r="C20"/>
      <c r="H20" s="281">
        <v>4.3333333740000004</v>
      </c>
      <c r="I20" s="281">
        <v>4.3333333740000004</v>
      </c>
      <c r="J20" s="35">
        <v>223810.08210037154</v>
      </c>
      <c r="K20" s="35">
        <v>25566.666906600003</v>
      </c>
    </row>
    <row r="21" spans="1:11" x14ac:dyDescent="0.25">
      <c r="A21"/>
      <c r="B21">
        <v>2650</v>
      </c>
      <c r="C21" s="419" t="s">
        <v>160</v>
      </c>
      <c r="D21" t="s">
        <v>695</v>
      </c>
      <c r="E21" t="s">
        <v>392</v>
      </c>
      <c r="F21" t="s">
        <v>147</v>
      </c>
      <c r="G21" s="273">
        <v>0.15</v>
      </c>
      <c r="H21" s="281">
        <v>0</v>
      </c>
      <c r="I21" s="281">
        <v>0</v>
      </c>
      <c r="J21" s="35">
        <v>0</v>
      </c>
      <c r="K21" s="35">
        <v>0</v>
      </c>
    </row>
    <row r="22" spans="1:11" x14ac:dyDescent="0.25">
      <c r="A22"/>
      <c r="B22" t="s">
        <v>954</v>
      </c>
      <c r="C22"/>
      <c r="H22" s="281">
        <v>0</v>
      </c>
      <c r="I22" s="281">
        <v>0</v>
      </c>
      <c r="J22" s="35">
        <v>0</v>
      </c>
      <c r="K22" s="35">
        <v>0</v>
      </c>
    </row>
    <row r="23" spans="1:11" x14ac:dyDescent="0.25">
      <c r="A23" s="273" t="s">
        <v>437</v>
      </c>
      <c r="B23" s="273"/>
      <c r="C23" s="273"/>
      <c r="D23" s="273"/>
      <c r="E23" s="273"/>
      <c r="F23" s="273"/>
      <c r="G23" s="273"/>
      <c r="H23" s="281">
        <v>8.7333334045333331</v>
      </c>
      <c r="I23" s="281">
        <v>8.7333334045333331</v>
      </c>
      <c r="J23" s="35">
        <v>451063.39567737182</v>
      </c>
      <c r="K23" s="35">
        <v>51526.667086746675</v>
      </c>
    </row>
    <row r="24" spans="1:11" x14ac:dyDescent="0.25">
      <c r="A24" t="s">
        <v>68</v>
      </c>
      <c r="B24">
        <v>5740</v>
      </c>
      <c r="C24" s="419" t="s">
        <v>365</v>
      </c>
      <c r="D24" t="s">
        <v>471</v>
      </c>
      <c r="E24" t="s">
        <v>401</v>
      </c>
      <c r="F24" t="s">
        <v>131</v>
      </c>
      <c r="G24" s="273">
        <v>0.33333333333333331</v>
      </c>
      <c r="H24" s="281">
        <v>0</v>
      </c>
      <c r="I24" s="281">
        <v>0</v>
      </c>
      <c r="J24" s="35">
        <v>0</v>
      </c>
      <c r="K24" s="35">
        <v>0</v>
      </c>
    </row>
    <row r="25" spans="1:11" x14ac:dyDescent="0.25">
      <c r="A25"/>
      <c r="B25" t="s">
        <v>477</v>
      </c>
      <c r="C25"/>
      <c r="H25" s="281">
        <v>0</v>
      </c>
      <c r="I25" s="281">
        <v>0</v>
      </c>
      <c r="J25" s="35">
        <v>0</v>
      </c>
      <c r="K25" s="35">
        <v>0</v>
      </c>
    </row>
    <row r="26" spans="1:11" x14ac:dyDescent="0.25">
      <c r="A26" s="273" t="s">
        <v>438</v>
      </c>
      <c r="B26" s="273"/>
      <c r="C26" s="273"/>
      <c r="D26" s="273"/>
      <c r="E26" s="273"/>
      <c r="F26" s="273"/>
      <c r="G26" s="273"/>
      <c r="H26" s="281">
        <v>0</v>
      </c>
      <c r="I26" s="281">
        <v>0</v>
      </c>
      <c r="J26" s="35">
        <v>0</v>
      </c>
      <c r="K26" s="35">
        <v>0</v>
      </c>
    </row>
    <row r="27" spans="1:11" x14ac:dyDescent="0.25">
      <c r="A27" t="s">
        <v>65</v>
      </c>
      <c r="B27">
        <v>1640</v>
      </c>
      <c r="C27" s="419" t="s">
        <v>128</v>
      </c>
      <c r="D27" t="s">
        <v>806</v>
      </c>
      <c r="E27" t="s">
        <v>807</v>
      </c>
      <c r="F27" t="s">
        <v>127</v>
      </c>
      <c r="G27" s="273">
        <v>0.5</v>
      </c>
      <c r="H27" s="281">
        <v>0</v>
      </c>
      <c r="I27" s="281">
        <v>0</v>
      </c>
      <c r="J27" s="35">
        <v>0</v>
      </c>
      <c r="K27" s="35">
        <v>0</v>
      </c>
    </row>
    <row r="28" spans="1:11" x14ac:dyDescent="0.25">
      <c r="A28"/>
      <c r="B28" t="s">
        <v>808</v>
      </c>
      <c r="C28"/>
      <c r="H28" s="281">
        <v>0</v>
      </c>
      <c r="I28" s="281">
        <v>0</v>
      </c>
      <c r="J28" s="35">
        <v>0</v>
      </c>
      <c r="K28" s="35">
        <v>0</v>
      </c>
    </row>
    <row r="29" spans="1:11" x14ac:dyDescent="0.25">
      <c r="A29"/>
      <c r="B29">
        <v>1650</v>
      </c>
      <c r="C29" s="419" t="s">
        <v>9</v>
      </c>
      <c r="D29" t="s">
        <v>872</v>
      </c>
      <c r="E29" t="s">
        <v>889</v>
      </c>
      <c r="F29" t="s">
        <v>499</v>
      </c>
      <c r="G29" s="273">
        <v>0.4</v>
      </c>
      <c r="H29" s="281">
        <v>0.05</v>
      </c>
      <c r="I29" s="281">
        <v>0.05</v>
      </c>
      <c r="J29" s="35">
        <v>1635.4979999999998</v>
      </c>
      <c r="K29" s="35">
        <v>295</v>
      </c>
    </row>
    <row r="30" spans="1:11" x14ac:dyDescent="0.25">
      <c r="A30"/>
      <c r="B30" t="s">
        <v>891</v>
      </c>
      <c r="C30"/>
      <c r="H30" s="281">
        <v>0.05</v>
      </c>
      <c r="I30" s="281">
        <v>0.05</v>
      </c>
      <c r="J30" s="35">
        <v>1635.4979999999998</v>
      </c>
      <c r="K30" s="35">
        <v>295</v>
      </c>
    </row>
    <row r="31" spans="1:11" x14ac:dyDescent="0.25">
      <c r="A31" t="s">
        <v>809</v>
      </c>
      <c r="C31"/>
      <c r="H31" s="281">
        <v>0.05</v>
      </c>
      <c r="I31" s="281">
        <v>0.05</v>
      </c>
      <c r="J31" s="35">
        <v>1635.4979999999998</v>
      </c>
      <c r="K31" s="35">
        <v>295</v>
      </c>
    </row>
    <row r="32" spans="1:11" x14ac:dyDescent="0.25">
      <c r="A32" s="421" t="s">
        <v>436</v>
      </c>
      <c r="B32" s="421"/>
      <c r="C32" s="421"/>
      <c r="D32" s="421"/>
      <c r="E32" s="421"/>
      <c r="F32" s="421"/>
      <c r="G32" s="421"/>
      <c r="H32" s="281">
        <v>8.8666667385333344</v>
      </c>
      <c r="I32" s="281">
        <v>8.8666667385333344</v>
      </c>
      <c r="J32" s="35">
        <v>458952.05872739718</v>
      </c>
      <c r="K32" s="35">
        <v>54755.000443546669</v>
      </c>
    </row>
    <row r="33" spans="1:3" x14ac:dyDescent="0.25">
      <c r="A33"/>
      <c r="C33"/>
    </row>
    <row r="34" spans="1:3" x14ac:dyDescent="0.25">
      <c r="A34"/>
      <c r="C34"/>
    </row>
    <row r="35" spans="1:3" x14ac:dyDescent="0.25">
      <c r="A35"/>
      <c r="C35"/>
    </row>
    <row r="36" spans="1:3" x14ac:dyDescent="0.25">
      <c r="A36"/>
      <c r="C36"/>
    </row>
    <row r="37" spans="1:3" x14ac:dyDescent="0.25">
      <c r="A37"/>
      <c r="C37"/>
    </row>
    <row r="38" spans="1:3" x14ac:dyDescent="0.25">
      <c r="A38"/>
      <c r="C38"/>
    </row>
    <row r="39" spans="1:3" x14ac:dyDescent="0.25">
      <c r="A39"/>
      <c r="C39"/>
    </row>
    <row r="40" spans="1:3" x14ac:dyDescent="0.25">
      <c r="A40"/>
      <c r="C40"/>
    </row>
    <row r="41" spans="1:3" x14ac:dyDescent="0.25">
      <c r="A41"/>
      <c r="C41"/>
    </row>
    <row r="42" spans="1:3" x14ac:dyDescent="0.25">
      <c r="A42"/>
      <c r="C42"/>
    </row>
    <row r="43" spans="1:3" x14ac:dyDescent="0.25">
      <c r="A43"/>
      <c r="C43"/>
    </row>
    <row r="44" spans="1:3" x14ac:dyDescent="0.25">
      <c r="A44"/>
      <c r="C44"/>
    </row>
    <row r="45" spans="1:3" x14ac:dyDescent="0.25">
      <c r="A45"/>
      <c r="C45"/>
    </row>
    <row r="46" spans="1:3" x14ac:dyDescent="0.25">
      <c r="A46"/>
      <c r="C46"/>
    </row>
    <row r="47" spans="1:3" x14ac:dyDescent="0.25">
      <c r="A47"/>
      <c r="C47"/>
    </row>
    <row r="48" spans="1:3" x14ac:dyDescent="0.25">
      <c r="A48"/>
      <c r="C48"/>
    </row>
    <row r="49" spans="1:3" x14ac:dyDescent="0.25">
      <c r="A49"/>
      <c r="C49"/>
    </row>
    <row r="50" spans="1:3" x14ac:dyDescent="0.25">
      <c r="A50"/>
      <c r="C50"/>
    </row>
    <row r="51" spans="1:3" x14ac:dyDescent="0.25">
      <c r="A51"/>
      <c r="C51"/>
    </row>
    <row r="52" spans="1:3" x14ac:dyDescent="0.25">
      <c r="A52"/>
      <c r="C52"/>
    </row>
    <row r="53" spans="1:3" x14ac:dyDescent="0.25">
      <c r="A53"/>
      <c r="C53"/>
    </row>
    <row r="54" spans="1:3" x14ac:dyDescent="0.25">
      <c r="A54"/>
      <c r="C54"/>
    </row>
    <row r="55" spans="1:3" x14ac:dyDescent="0.25">
      <c r="A55"/>
      <c r="C55"/>
    </row>
    <row r="56" spans="1:3" x14ac:dyDescent="0.25">
      <c r="A56"/>
      <c r="C56"/>
    </row>
    <row r="57" spans="1:3" x14ac:dyDescent="0.25">
      <c r="A57"/>
      <c r="C57"/>
    </row>
    <row r="58" spans="1:3" x14ac:dyDescent="0.25">
      <c r="A58"/>
      <c r="C58"/>
    </row>
    <row r="59" spans="1:3" x14ac:dyDescent="0.25">
      <c r="A59"/>
      <c r="C59"/>
    </row>
    <row r="60" spans="1:3" x14ac:dyDescent="0.25">
      <c r="A60"/>
      <c r="C60"/>
    </row>
    <row r="61" spans="1:3" x14ac:dyDescent="0.25">
      <c r="A61"/>
      <c r="C61"/>
    </row>
    <row r="62" spans="1:3" x14ac:dyDescent="0.25">
      <c r="A62"/>
      <c r="C62"/>
    </row>
    <row r="63" spans="1:3" x14ac:dyDescent="0.25">
      <c r="A63"/>
      <c r="C63"/>
    </row>
    <row r="64" spans="1:3" x14ac:dyDescent="0.25">
      <c r="A64"/>
      <c r="C64"/>
    </row>
    <row r="65" spans="1:3" x14ac:dyDescent="0.25">
      <c r="A65"/>
      <c r="C65"/>
    </row>
    <row r="66" spans="1:3" x14ac:dyDescent="0.25">
      <c r="A66"/>
      <c r="C66"/>
    </row>
    <row r="67" spans="1:3" x14ac:dyDescent="0.25">
      <c r="A67"/>
      <c r="C67"/>
    </row>
    <row r="68" spans="1:3" x14ac:dyDescent="0.25">
      <c r="A68"/>
      <c r="C68"/>
    </row>
    <row r="69" spans="1:3" x14ac:dyDescent="0.25">
      <c r="A69"/>
      <c r="C69"/>
    </row>
    <row r="70" spans="1:3" x14ac:dyDescent="0.25">
      <c r="A70"/>
      <c r="C70"/>
    </row>
    <row r="71" spans="1:3" x14ac:dyDescent="0.25">
      <c r="A71"/>
      <c r="C71"/>
    </row>
    <row r="72" spans="1:3" x14ac:dyDescent="0.25">
      <c r="A72"/>
      <c r="C72"/>
    </row>
    <row r="73" spans="1:3" x14ac:dyDescent="0.25">
      <c r="A73"/>
      <c r="C73"/>
    </row>
    <row r="74" spans="1:3" x14ac:dyDescent="0.25">
      <c r="A74"/>
      <c r="C74"/>
    </row>
    <row r="75" spans="1:3" x14ac:dyDescent="0.25">
      <c r="A75"/>
      <c r="C75"/>
    </row>
    <row r="76" spans="1:3" x14ac:dyDescent="0.25">
      <c r="A76"/>
      <c r="C76"/>
    </row>
    <row r="77" spans="1:3" x14ac:dyDescent="0.25">
      <c r="A77"/>
      <c r="C77"/>
    </row>
    <row r="78" spans="1:3" x14ac:dyDescent="0.25">
      <c r="A78"/>
      <c r="C78"/>
    </row>
    <row r="79" spans="1:3" x14ac:dyDescent="0.25">
      <c r="A79"/>
      <c r="C79"/>
    </row>
    <row r="80" spans="1:3" x14ac:dyDescent="0.25">
      <c r="A80"/>
      <c r="C80"/>
    </row>
    <row r="81" spans="1:3" x14ac:dyDescent="0.25">
      <c r="A81"/>
      <c r="C81"/>
    </row>
    <row r="82" spans="1:3" x14ac:dyDescent="0.25">
      <c r="A82"/>
      <c r="C82"/>
    </row>
    <row r="83" spans="1:3" x14ac:dyDescent="0.25">
      <c r="A83"/>
      <c r="C83"/>
    </row>
    <row r="84" spans="1:3" x14ac:dyDescent="0.25">
      <c r="A84"/>
      <c r="C84"/>
    </row>
    <row r="85" spans="1:3" x14ac:dyDescent="0.25">
      <c r="A85"/>
      <c r="C85"/>
    </row>
    <row r="86" spans="1:3" x14ac:dyDescent="0.25">
      <c r="A86"/>
      <c r="C86"/>
    </row>
    <row r="87" spans="1:3" x14ac:dyDescent="0.25">
      <c r="A87"/>
      <c r="C87"/>
    </row>
    <row r="88" spans="1:3" x14ac:dyDescent="0.25">
      <c r="A88"/>
      <c r="C88"/>
    </row>
    <row r="89" spans="1:3" x14ac:dyDescent="0.25">
      <c r="A89"/>
      <c r="C89"/>
    </row>
    <row r="90" spans="1:3" x14ac:dyDescent="0.25">
      <c r="A90"/>
      <c r="C90"/>
    </row>
    <row r="91" spans="1:3" x14ac:dyDescent="0.25">
      <c r="A91"/>
      <c r="C91"/>
    </row>
    <row r="92" spans="1:3" x14ac:dyDescent="0.25">
      <c r="A92"/>
      <c r="C92"/>
    </row>
    <row r="93" spans="1:3" x14ac:dyDescent="0.25">
      <c r="A93"/>
      <c r="C93"/>
    </row>
    <row r="94" spans="1:3" x14ac:dyDescent="0.25">
      <c r="A94"/>
      <c r="C94"/>
    </row>
    <row r="95" spans="1:3" x14ac:dyDescent="0.25">
      <c r="A95"/>
      <c r="C95"/>
    </row>
    <row r="96" spans="1:3" x14ac:dyDescent="0.25">
      <c r="A96"/>
      <c r="C96"/>
    </row>
    <row r="97" spans="1:3" x14ac:dyDescent="0.25">
      <c r="A97"/>
      <c r="C97"/>
    </row>
    <row r="98" spans="1:3" x14ac:dyDescent="0.25">
      <c r="A98"/>
      <c r="C98"/>
    </row>
    <row r="99" spans="1:3" x14ac:dyDescent="0.25">
      <c r="A99"/>
      <c r="C99"/>
    </row>
    <row r="100" spans="1:3" x14ac:dyDescent="0.25">
      <c r="A100"/>
      <c r="C100"/>
    </row>
    <row r="101" spans="1:3" x14ac:dyDescent="0.25">
      <c r="A101"/>
      <c r="C101"/>
    </row>
    <row r="102" spans="1:3" x14ac:dyDescent="0.25">
      <c r="A102"/>
      <c r="C102"/>
    </row>
    <row r="103" spans="1:3" x14ac:dyDescent="0.25">
      <c r="A103"/>
      <c r="C103"/>
    </row>
    <row r="104" spans="1:3" x14ac:dyDescent="0.25">
      <c r="A104"/>
      <c r="C104"/>
    </row>
    <row r="105" spans="1:3" x14ac:dyDescent="0.25">
      <c r="A105"/>
      <c r="C105"/>
    </row>
    <row r="106" spans="1:3" x14ac:dyDescent="0.25">
      <c r="A106"/>
      <c r="C106"/>
    </row>
    <row r="107" spans="1:3" x14ac:dyDescent="0.25">
      <c r="A107"/>
      <c r="C107"/>
    </row>
    <row r="108" spans="1:3" x14ac:dyDescent="0.25">
      <c r="A108"/>
      <c r="C108"/>
    </row>
    <row r="109" spans="1:3" x14ac:dyDescent="0.25">
      <c r="A109"/>
      <c r="C109"/>
    </row>
    <row r="110" spans="1:3" x14ac:dyDescent="0.25">
      <c r="A110"/>
      <c r="C110"/>
    </row>
    <row r="111" spans="1:3" x14ac:dyDescent="0.25">
      <c r="A111"/>
      <c r="C111"/>
    </row>
    <row r="112" spans="1:3" x14ac:dyDescent="0.25">
      <c r="A112"/>
      <c r="C112"/>
    </row>
    <row r="113" spans="1:3" x14ac:dyDescent="0.25">
      <c r="A113"/>
      <c r="C113"/>
    </row>
    <row r="114" spans="1:3" x14ac:dyDescent="0.25">
      <c r="A114"/>
      <c r="C114"/>
    </row>
    <row r="115" spans="1:3" x14ac:dyDescent="0.25">
      <c r="A115"/>
      <c r="C115"/>
    </row>
    <row r="116" spans="1:3" x14ac:dyDescent="0.25">
      <c r="A116"/>
      <c r="C116"/>
    </row>
    <row r="117" spans="1:3" x14ac:dyDescent="0.25">
      <c r="A117"/>
      <c r="C117"/>
    </row>
    <row r="118" spans="1:3" x14ac:dyDescent="0.25">
      <c r="A118"/>
      <c r="C118"/>
    </row>
    <row r="119" spans="1:3" x14ac:dyDescent="0.25">
      <c r="A119"/>
      <c r="C119"/>
    </row>
    <row r="120" spans="1:3" x14ac:dyDescent="0.25">
      <c r="A120"/>
      <c r="C120"/>
    </row>
    <row r="121" spans="1:3" x14ac:dyDescent="0.25">
      <c r="A121"/>
      <c r="C121"/>
    </row>
    <row r="122" spans="1:3" x14ac:dyDescent="0.25">
      <c r="A122"/>
      <c r="C122"/>
    </row>
    <row r="123" spans="1:3" x14ac:dyDescent="0.25">
      <c r="A123"/>
      <c r="C123"/>
    </row>
    <row r="124" spans="1:3" x14ac:dyDescent="0.25">
      <c r="A124"/>
      <c r="C124"/>
    </row>
    <row r="125" spans="1:3" x14ac:dyDescent="0.25">
      <c r="A125"/>
      <c r="C125"/>
    </row>
    <row r="126" spans="1:3" x14ac:dyDescent="0.25">
      <c r="A126"/>
      <c r="C126"/>
    </row>
    <row r="127" spans="1:3" x14ac:dyDescent="0.25">
      <c r="A127"/>
      <c r="C127"/>
    </row>
    <row r="128" spans="1:3" x14ac:dyDescent="0.25">
      <c r="A128"/>
      <c r="C128"/>
    </row>
    <row r="129" spans="1:3" x14ac:dyDescent="0.25">
      <c r="A129"/>
      <c r="C129"/>
    </row>
    <row r="130" spans="1:3" x14ac:dyDescent="0.25">
      <c r="A130"/>
      <c r="C130"/>
    </row>
    <row r="131" spans="1:3" x14ac:dyDescent="0.25">
      <c r="A131"/>
      <c r="C131"/>
    </row>
    <row r="132" spans="1:3" x14ac:dyDescent="0.25">
      <c r="A132"/>
      <c r="C132"/>
    </row>
    <row r="133" spans="1:3" x14ac:dyDescent="0.25">
      <c r="A133"/>
      <c r="C133"/>
    </row>
    <row r="134" spans="1:3" x14ac:dyDescent="0.25">
      <c r="A134"/>
      <c r="C134"/>
    </row>
    <row r="135" spans="1:3" x14ac:dyDescent="0.25">
      <c r="A135"/>
      <c r="C135"/>
    </row>
    <row r="136" spans="1:3" x14ac:dyDescent="0.25">
      <c r="A136"/>
      <c r="C136"/>
    </row>
    <row r="137" spans="1:3" x14ac:dyDescent="0.25">
      <c r="A137"/>
      <c r="C137"/>
    </row>
    <row r="138" spans="1:3" x14ac:dyDescent="0.25">
      <c r="A138"/>
      <c r="C138"/>
    </row>
    <row r="139" spans="1:3" x14ac:dyDescent="0.25">
      <c r="A139"/>
      <c r="C139"/>
    </row>
    <row r="140" spans="1:3" x14ac:dyDescent="0.25">
      <c r="A140"/>
      <c r="C140"/>
    </row>
    <row r="141" spans="1:3" x14ac:dyDescent="0.25">
      <c r="A141"/>
      <c r="C141"/>
    </row>
    <row r="142" spans="1:3" x14ac:dyDescent="0.25">
      <c r="A142"/>
      <c r="C142"/>
    </row>
    <row r="143" spans="1:3" x14ac:dyDescent="0.25">
      <c r="A143"/>
      <c r="C143"/>
    </row>
    <row r="144" spans="1:3" x14ac:dyDescent="0.25">
      <c r="A144"/>
      <c r="C144"/>
    </row>
    <row r="145" spans="1:3" x14ac:dyDescent="0.25">
      <c r="A145"/>
      <c r="C145"/>
    </row>
    <row r="146" spans="1:3" x14ac:dyDescent="0.25">
      <c r="A146"/>
      <c r="C146"/>
    </row>
    <row r="147" spans="1:3" x14ac:dyDescent="0.25">
      <c r="A147"/>
      <c r="C147"/>
    </row>
    <row r="148" spans="1:3" x14ac:dyDescent="0.25">
      <c r="A148"/>
      <c r="C148"/>
    </row>
    <row r="149" spans="1:3" x14ac:dyDescent="0.25">
      <c r="A149"/>
      <c r="C149"/>
    </row>
    <row r="150" spans="1:3" x14ac:dyDescent="0.25">
      <c r="A150"/>
      <c r="C150"/>
    </row>
    <row r="151" spans="1:3" x14ac:dyDescent="0.25">
      <c r="A151"/>
      <c r="C151"/>
    </row>
    <row r="152" spans="1:3" x14ac:dyDescent="0.25">
      <c r="A152"/>
      <c r="C152"/>
    </row>
    <row r="153" spans="1:3" x14ac:dyDescent="0.25">
      <c r="A153"/>
      <c r="C153"/>
    </row>
    <row r="154" spans="1:3" x14ac:dyDescent="0.25">
      <c r="A154"/>
      <c r="C154"/>
    </row>
    <row r="155" spans="1:3" x14ac:dyDescent="0.25">
      <c r="A155"/>
      <c r="C155"/>
    </row>
    <row r="156" spans="1:3" x14ac:dyDescent="0.25">
      <c r="A156"/>
      <c r="C156"/>
    </row>
    <row r="157" spans="1:3" x14ac:dyDescent="0.25">
      <c r="A157"/>
      <c r="C157"/>
    </row>
    <row r="158" spans="1:3" x14ac:dyDescent="0.25">
      <c r="A158"/>
      <c r="C158"/>
    </row>
    <row r="159" spans="1:3" x14ac:dyDescent="0.25">
      <c r="A159"/>
      <c r="C159"/>
    </row>
    <row r="160" spans="1:3" x14ac:dyDescent="0.25">
      <c r="A160"/>
      <c r="C160"/>
    </row>
    <row r="161" spans="1:3" x14ac:dyDescent="0.25">
      <c r="A161"/>
      <c r="C161"/>
    </row>
    <row r="162" spans="1:3" x14ac:dyDescent="0.25">
      <c r="A162"/>
      <c r="C162"/>
    </row>
    <row r="163" spans="1:3" x14ac:dyDescent="0.25">
      <c r="A163"/>
      <c r="C163"/>
    </row>
    <row r="164" spans="1:3" x14ac:dyDescent="0.25">
      <c r="A164"/>
      <c r="C164"/>
    </row>
    <row r="165" spans="1:3" x14ac:dyDescent="0.25">
      <c r="A165"/>
      <c r="C165"/>
    </row>
    <row r="166" spans="1:3" x14ac:dyDescent="0.25">
      <c r="A166"/>
      <c r="C166"/>
    </row>
    <row r="167" spans="1:3" x14ac:dyDescent="0.25">
      <c r="A167"/>
      <c r="C167"/>
    </row>
    <row r="168" spans="1:3" x14ac:dyDescent="0.25">
      <c r="A168"/>
      <c r="C168"/>
    </row>
    <row r="169" spans="1:3" x14ac:dyDescent="0.25">
      <c r="A169"/>
      <c r="C169"/>
    </row>
    <row r="170" spans="1:3" x14ac:dyDescent="0.25">
      <c r="A170"/>
      <c r="C170"/>
    </row>
    <row r="171" spans="1:3" x14ac:dyDescent="0.25">
      <c r="A171"/>
      <c r="C171"/>
    </row>
    <row r="172" spans="1:3" x14ac:dyDescent="0.25">
      <c r="A172"/>
      <c r="C172"/>
    </row>
    <row r="173" spans="1:3" x14ac:dyDescent="0.25">
      <c r="A173"/>
      <c r="C173"/>
    </row>
    <row r="174" spans="1:3" x14ac:dyDescent="0.25">
      <c r="A174"/>
      <c r="C174"/>
    </row>
    <row r="175" spans="1:3" x14ac:dyDescent="0.25">
      <c r="A175"/>
      <c r="C175"/>
    </row>
    <row r="176" spans="1:3" x14ac:dyDescent="0.25">
      <c r="A176"/>
      <c r="C176"/>
    </row>
    <row r="177" spans="1:3" x14ac:dyDescent="0.25">
      <c r="A177"/>
      <c r="C177"/>
    </row>
    <row r="178" spans="1:3" x14ac:dyDescent="0.25">
      <c r="A178"/>
      <c r="C178"/>
    </row>
    <row r="179" spans="1:3" x14ac:dyDescent="0.25">
      <c r="A179"/>
      <c r="C179"/>
    </row>
    <row r="180" spans="1:3" x14ac:dyDescent="0.25">
      <c r="A180"/>
      <c r="C180"/>
    </row>
    <row r="181" spans="1:3" x14ac:dyDescent="0.25">
      <c r="A181"/>
      <c r="C181"/>
    </row>
    <row r="182" spans="1:3" x14ac:dyDescent="0.25">
      <c r="A182"/>
      <c r="C182"/>
    </row>
    <row r="183" spans="1:3" x14ac:dyDescent="0.25">
      <c r="A183"/>
      <c r="C183"/>
    </row>
    <row r="184" spans="1:3" x14ac:dyDescent="0.25">
      <c r="A184"/>
      <c r="C184"/>
    </row>
    <row r="185" spans="1:3" x14ac:dyDescent="0.25">
      <c r="A185"/>
      <c r="C185"/>
    </row>
    <row r="186" spans="1:3" x14ac:dyDescent="0.25">
      <c r="A186"/>
      <c r="C186"/>
    </row>
    <row r="187" spans="1:3" x14ac:dyDescent="0.25">
      <c r="A187"/>
      <c r="C187"/>
    </row>
    <row r="188" spans="1:3" x14ac:dyDescent="0.25">
      <c r="A188"/>
      <c r="C188"/>
    </row>
    <row r="189" spans="1:3" x14ac:dyDescent="0.25">
      <c r="A189"/>
      <c r="C189"/>
    </row>
    <row r="190" spans="1:3" x14ac:dyDescent="0.25">
      <c r="A190"/>
      <c r="C190"/>
    </row>
    <row r="191" spans="1:3" x14ac:dyDescent="0.25">
      <c r="A191"/>
      <c r="C191"/>
    </row>
    <row r="192" spans="1:3" x14ac:dyDescent="0.25">
      <c r="A192"/>
      <c r="C192"/>
    </row>
    <row r="193" spans="1:3" x14ac:dyDescent="0.25">
      <c r="A193"/>
      <c r="C193"/>
    </row>
    <row r="194" spans="1:3" x14ac:dyDescent="0.25">
      <c r="A194"/>
      <c r="C194"/>
    </row>
    <row r="195" spans="1:3" x14ac:dyDescent="0.25">
      <c r="A195"/>
      <c r="C195"/>
    </row>
    <row r="196" spans="1:3" x14ac:dyDescent="0.25">
      <c r="A196"/>
      <c r="C196"/>
    </row>
    <row r="197" spans="1:3" x14ac:dyDescent="0.25">
      <c r="A197"/>
      <c r="C197"/>
    </row>
    <row r="198" spans="1:3" x14ac:dyDescent="0.25">
      <c r="A198"/>
      <c r="C198"/>
    </row>
    <row r="199" spans="1:3" x14ac:dyDescent="0.25">
      <c r="A199"/>
      <c r="C199"/>
    </row>
    <row r="200" spans="1:3" x14ac:dyDescent="0.25">
      <c r="A200"/>
      <c r="C200"/>
    </row>
    <row r="201" spans="1:3" x14ac:dyDescent="0.25">
      <c r="A201"/>
      <c r="C201"/>
    </row>
    <row r="202" spans="1:3" x14ac:dyDescent="0.25">
      <c r="A202"/>
      <c r="C202"/>
    </row>
    <row r="203" spans="1:3" x14ac:dyDescent="0.25">
      <c r="A203"/>
      <c r="C203"/>
    </row>
    <row r="204" spans="1:3" x14ac:dyDescent="0.25">
      <c r="A204"/>
      <c r="C204"/>
    </row>
    <row r="205" spans="1:3" x14ac:dyDescent="0.25">
      <c r="A205"/>
      <c r="C205"/>
    </row>
    <row r="206" spans="1:3" x14ac:dyDescent="0.25">
      <c r="A206"/>
      <c r="C206"/>
    </row>
    <row r="207" spans="1:3" x14ac:dyDescent="0.25">
      <c r="A207"/>
      <c r="C207"/>
    </row>
    <row r="208" spans="1:3" x14ac:dyDescent="0.25">
      <c r="A208"/>
      <c r="C208"/>
    </row>
    <row r="209" spans="1:3" x14ac:dyDescent="0.25">
      <c r="A209"/>
      <c r="C209"/>
    </row>
    <row r="210" spans="1:3" x14ac:dyDescent="0.25">
      <c r="A210"/>
      <c r="C210"/>
    </row>
    <row r="211" spans="1:3" x14ac:dyDescent="0.25">
      <c r="A211"/>
      <c r="C211"/>
    </row>
    <row r="212" spans="1:3" x14ac:dyDescent="0.25">
      <c r="A212"/>
      <c r="C212"/>
    </row>
    <row r="213" spans="1:3" x14ac:dyDescent="0.25">
      <c r="A213"/>
      <c r="C213"/>
    </row>
    <row r="214" spans="1:3" x14ac:dyDescent="0.25">
      <c r="A214"/>
      <c r="C214"/>
    </row>
    <row r="215" spans="1:3" x14ac:dyDescent="0.25">
      <c r="A215"/>
      <c r="C215"/>
    </row>
    <row r="216" spans="1:3" x14ac:dyDescent="0.25">
      <c r="A216"/>
      <c r="C216"/>
    </row>
    <row r="217" spans="1:3" x14ac:dyDescent="0.25">
      <c r="A217"/>
      <c r="C217"/>
    </row>
    <row r="218" spans="1:3" x14ac:dyDescent="0.25">
      <c r="A218"/>
      <c r="C218"/>
    </row>
    <row r="219" spans="1:3" x14ac:dyDescent="0.25">
      <c r="A219"/>
      <c r="C219"/>
    </row>
    <row r="220" spans="1:3" x14ac:dyDescent="0.25">
      <c r="A220"/>
      <c r="C220"/>
    </row>
    <row r="221" spans="1:3" x14ac:dyDescent="0.25">
      <c r="A221"/>
      <c r="C221"/>
    </row>
    <row r="222" spans="1:3" x14ac:dyDescent="0.25">
      <c r="A222"/>
      <c r="C222"/>
    </row>
    <row r="223" spans="1:3" x14ac:dyDescent="0.25">
      <c r="A223"/>
      <c r="C223"/>
    </row>
    <row r="224" spans="1:3" x14ac:dyDescent="0.25">
      <c r="A224"/>
      <c r="C224"/>
    </row>
    <row r="225" spans="1:3" x14ac:dyDescent="0.25">
      <c r="A225"/>
      <c r="C225"/>
    </row>
    <row r="226" spans="1:3" x14ac:dyDescent="0.25">
      <c r="A226"/>
      <c r="C226"/>
    </row>
    <row r="227" spans="1:3" x14ac:dyDescent="0.25">
      <c r="A227"/>
      <c r="C227"/>
    </row>
    <row r="228" spans="1:3" x14ac:dyDescent="0.25">
      <c r="A228"/>
      <c r="C228"/>
    </row>
    <row r="229" spans="1:3" x14ac:dyDescent="0.25">
      <c r="A229"/>
      <c r="C229"/>
    </row>
    <row r="230" spans="1:3" x14ac:dyDescent="0.25">
      <c r="A230"/>
      <c r="C230"/>
    </row>
    <row r="231" spans="1:3" x14ac:dyDescent="0.25">
      <c r="A231"/>
      <c r="C231"/>
    </row>
    <row r="232" spans="1:3" x14ac:dyDescent="0.25">
      <c r="A232"/>
      <c r="C232"/>
    </row>
    <row r="233" spans="1:3" x14ac:dyDescent="0.25">
      <c r="A233"/>
      <c r="C233"/>
    </row>
    <row r="234" spans="1:3" x14ac:dyDescent="0.25">
      <c r="A234"/>
      <c r="C234"/>
    </row>
    <row r="235" spans="1:3" x14ac:dyDescent="0.25">
      <c r="A235"/>
      <c r="C235"/>
    </row>
    <row r="236" spans="1:3" x14ac:dyDescent="0.25">
      <c r="A236"/>
      <c r="C236"/>
    </row>
    <row r="237" spans="1:3" x14ac:dyDescent="0.25">
      <c r="A237"/>
      <c r="C237"/>
    </row>
    <row r="238" spans="1:3" x14ac:dyDescent="0.25">
      <c r="A238"/>
      <c r="C238"/>
    </row>
    <row r="239" spans="1:3" x14ac:dyDescent="0.25">
      <c r="A239"/>
      <c r="C239"/>
    </row>
    <row r="240" spans="1:3" x14ac:dyDescent="0.25">
      <c r="A240"/>
      <c r="C240"/>
    </row>
    <row r="241" spans="1:3" x14ac:dyDescent="0.25">
      <c r="A241"/>
      <c r="C241"/>
    </row>
    <row r="242" spans="1:3" x14ac:dyDescent="0.25">
      <c r="A242"/>
      <c r="C242"/>
    </row>
    <row r="243" spans="1:3" x14ac:dyDescent="0.25">
      <c r="A243"/>
      <c r="C243"/>
    </row>
    <row r="244" spans="1:3" x14ac:dyDescent="0.25">
      <c r="A244"/>
      <c r="C244"/>
    </row>
    <row r="245" spans="1:3" x14ac:dyDescent="0.25">
      <c r="A245"/>
      <c r="C245"/>
    </row>
    <row r="246" spans="1:3" x14ac:dyDescent="0.25">
      <c r="A246"/>
      <c r="C246"/>
    </row>
    <row r="247" spans="1:3" x14ac:dyDescent="0.25">
      <c r="A247"/>
      <c r="C247"/>
    </row>
    <row r="248" spans="1:3" x14ac:dyDescent="0.25">
      <c r="A248"/>
      <c r="C248"/>
    </row>
    <row r="249" spans="1:3" x14ac:dyDescent="0.25">
      <c r="A249"/>
      <c r="C249"/>
    </row>
    <row r="250" spans="1:3" x14ac:dyDescent="0.25">
      <c r="A250"/>
      <c r="C250"/>
    </row>
    <row r="251" spans="1:3" x14ac:dyDescent="0.25">
      <c r="A251"/>
      <c r="C251"/>
    </row>
    <row r="252" spans="1:3" x14ac:dyDescent="0.25">
      <c r="A252"/>
      <c r="C252"/>
    </row>
    <row r="253" spans="1:3" x14ac:dyDescent="0.25">
      <c r="A253"/>
      <c r="C253"/>
    </row>
    <row r="254" spans="1:3" x14ac:dyDescent="0.25">
      <c r="A254"/>
      <c r="C254"/>
    </row>
    <row r="255" spans="1:3" x14ac:dyDescent="0.25">
      <c r="A255"/>
      <c r="C255"/>
    </row>
    <row r="256" spans="1:3" x14ac:dyDescent="0.25">
      <c r="A256"/>
      <c r="C256"/>
    </row>
    <row r="257" spans="1:3" x14ac:dyDescent="0.25">
      <c r="A257"/>
      <c r="C257"/>
    </row>
    <row r="258" spans="1:3" x14ac:dyDescent="0.25">
      <c r="A258"/>
      <c r="C258"/>
    </row>
    <row r="259" spans="1:3" x14ac:dyDescent="0.25">
      <c r="A259"/>
      <c r="C259"/>
    </row>
    <row r="260" spans="1:3" x14ac:dyDescent="0.25">
      <c r="A260"/>
      <c r="C260"/>
    </row>
    <row r="261" spans="1:3" x14ac:dyDescent="0.25">
      <c r="A261"/>
      <c r="C261"/>
    </row>
    <row r="262" spans="1:3" x14ac:dyDescent="0.25">
      <c r="A262"/>
      <c r="C262"/>
    </row>
    <row r="263" spans="1:3" x14ac:dyDescent="0.25">
      <c r="A263"/>
      <c r="C263"/>
    </row>
    <row r="264" spans="1:3" x14ac:dyDescent="0.25">
      <c r="A264"/>
      <c r="C264"/>
    </row>
    <row r="265" spans="1:3" x14ac:dyDescent="0.25">
      <c r="A265"/>
      <c r="C265"/>
    </row>
    <row r="266" spans="1:3" x14ac:dyDescent="0.25">
      <c r="A266"/>
      <c r="C266"/>
    </row>
    <row r="267" spans="1:3" x14ac:dyDescent="0.25">
      <c r="A267"/>
      <c r="C267"/>
    </row>
    <row r="268" spans="1:3" x14ac:dyDescent="0.25">
      <c r="A268"/>
      <c r="C268"/>
    </row>
    <row r="269" spans="1:3" x14ac:dyDescent="0.25">
      <c r="A269"/>
      <c r="C269"/>
    </row>
    <row r="270" spans="1:3" x14ac:dyDescent="0.25">
      <c r="A270"/>
      <c r="C270"/>
    </row>
    <row r="271" spans="1:3" x14ac:dyDescent="0.25">
      <c r="A271"/>
      <c r="C271"/>
    </row>
    <row r="272" spans="1:3" x14ac:dyDescent="0.25">
      <c r="A272"/>
      <c r="C272"/>
    </row>
    <row r="273" spans="1:3" x14ac:dyDescent="0.25">
      <c r="A273"/>
      <c r="C273"/>
    </row>
    <row r="274" spans="1:3" x14ac:dyDescent="0.25">
      <c r="A274"/>
      <c r="C274"/>
    </row>
    <row r="275" spans="1:3" x14ac:dyDescent="0.25">
      <c r="A275"/>
      <c r="C275"/>
    </row>
    <row r="276" spans="1:3" x14ac:dyDescent="0.25">
      <c r="A276"/>
      <c r="C276"/>
    </row>
    <row r="277" spans="1:3" x14ac:dyDescent="0.25">
      <c r="A277"/>
      <c r="C277"/>
    </row>
    <row r="278" spans="1:3" x14ac:dyDescent="0.25">
      <c r="A278"/>
      <c r="C278"/>
    </row>
    <row r="279" spans="1:3" x14ac:dyDescent="0.25">
      <c r="A279"/>
      <c r="C279"/>
    </row>
    <row r="280" spans="1:3" x14ac:dyDescent="0.25">
      <c r="A280"/>
      <c r="C280"/>
    </row>
    <row r="281" spans="1:3" x14ac:dyDescent="0.25">
      <c r="A281"/>
      <c r="C281"/>
    </row>
    <row r="282" spans="1:3" x14ac:dyDescent="0.25">
      <c r="A282"/>
      <c r="C282"/>
    </row>
    <row r="283" spans="1:3" x14ac:dyDescent="0.25">
      <c r="A283"/>
      <c r="C283"/>
    </row>
    <row r="284" spans="1:3" x14ac:dyDescent="0.25">
      <c r="A284"/>
      <c r="C284"/>
    </row>
    <row r="285" spans="1:3" x14ac:dyDescent="0.25">
      <c r="A285"/>
      <c r="C285"/>
    </row>
    <row r="286" spans="1:3" x14ac:dyDescent="0.25">
      <c r="A286"/>
      <c r="C286"/>
    </row>
    <row r="287" spans="1:3" x14ac:dyDescent="0.25">
      <c r="A287"/>
      <c r="C287"/>
    </row>
    <row r="288" spans="1:3" x14ac:dyDescent="0.25">
      <c r="A288"/>
      <c r="C288"/>
    </row>
    <row r="289" spans="1:3" x14ac:dyDescent="0.25">
      <c r="A289"/>
      <c r="C289"/>
    </row>
    <row r="290" spans="1:3" x14ac:dyDescent="0.25">
      <c r="A290"/>
      <c r="C290"/>
    </row>
    <row r="291" spans="1:3" x14ac:dyDescent="0.25">
      <c r="A291"/>
      <c r="C291"/>
    </row>
  </sheetData>
  <sheetProtection sheet="1" objects="1" scenarios="1"/>
  <mergeCells count="1">
    <mergeCell ref="A1:E1"/>
  </mergeCells>
  <phoneticPr fontId="40" type="noConversion"/>
  <printOptions horizontalCentered="1"/>
  <pageMargins left="0.31496062992125984" right="0.31496062992125984" top="0.94488188976377963" bottom="0.55118110236220474" header="0.31496062992125984" footer="0.31496062992125984"/>
  <pageSetup paperSize="9" scale="21" orientation="landscape" r:id="rId2"/>
  <headerFooter>
    <oddHeader>&amp;R&amp;F</oddHeader>
    <oddFooter>Sida &amp;P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7DF8B229149043AC056CBFE8B11EF9" ma:contentTypeVersion="13" ma:contentTypeDescription="Create a new document." ma:contentTypeScope="" ma:versionID="ec1f346503ac423ca7b47fc17b037417">
  <xsd:schema xmlns:xsd="http://www.w3.org/2001/XMLSchema" xmlns:xs="http://www.w3.org/2001/XMLSchema" xmlns:p="http://schemas.microsoft.com/office/2006/metadata/properties" xmlns:ns3="9c314a0d-fc0e-415c-9aed-f7cf8316431a" xmlns:ns4="a389610a-632f-450a-96e1-8e2237e52dab" targetNamespace="http://schemas.microsoft.com/office/2006/metadata/properties" ma:root="true" ma:fieldsID="a2db62fd59bf548f4bcb8f85602e0459" ns3:_="" ns4:_="">
    <xsd:import namespace="9c314a0d-fc0e-415c-9aed-f7cf8316431a"/>
    <xsd:import namespace="a389610a-632f-450a-96e1-8e2237e52da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14a0d-fc0e-415c-9aed-f7cf8316431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89610a-632f-450a-96e1-8e2237e52d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861B89-62C7-4A90-928F-05896595D9CB}">
  <ds:schemaRefs>
    <ds:schemaRef ds:uri="http://schemas.microsoft.com/sharepoint/v3/contenttype/forms"/>
  </ds:schemaRefs>
</ds:datastoreItem>
</file>

<file path=customXml/itemProps2.xml><?xml version="1.0" encoding="utf-8"?>
<ds:datastoreItem xmlns:ds="http://schemas.openxmlformats.org/officeDocument/2006/customXml" ds:itemID="{5F25C9B1-2200-4056-9838-5F0D21593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14a0d-fc0e-415c-9aed-f7cf8316431a"/>
    <ds:schemaRef ds:uri="a389610a-632f-450a-96e1-8e2237e52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73EAEF-3CC2-4012-A22F-202C8648DA16}">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9c314a0d-fc0e-415c-9aed-f7cf8316431a"/>
    <ds:schemaRef ds:uri="http://schemas.openxmlformats.org/package/2006/metadata/core-properties"/>
    <ds:schemaRef ds:uri="http://purl.org/dc/terms/"/>
    <ds:schemaRef ds:uri="a389610a-632f-450a-96e1-8e2237e52d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17</vt:i4>
      </vt:variant>
    </vt:vector>
  </HeadingPairs>
  <TitlesOfParts>
    <vt:vector size="36" baseType="lpstr">
      <vt:lpstr>INFO RTV-VAL 2020</vt:lpstr>
      <vt:lpstr>Kom ihåg</vt:lpstr>
      <vt:lpstr>Start</vt:lpstr>
      <vt:lpstr>Totalt per inst</vt:lpstr>
      <vt:lpstr>Bokforder jan+feb</vt:lpstr>
      <vt:lpstr>Bokforder mars--</vt:lpstr>
      <vt:lpstr>Bokforder sept--</vt:lpstr>
      <vt:lpstr>Utfördelat tom aug</vt:lpstr>
      <vt:lpstr>Medv</vt:lpstr>
      <vt:lpstr>Kursansv till medv</vt:lpstr>
      <vt:lpstr>kurser alla</vt:lpstr>
      <vt:lpstr>Prislapp</vt:lpstr>
      <vt:lpstr>kurspris</vt:lpstr>
      <vt:lpstr>Orgenheter</vt:lpstr>
      <vt:lpstr>Program</vt:lpstr>
      <vt:lpstr>Ansvar kurs</vt:lpstr>
      <vt:lpstr>Totalt pivot</vt:lpstr>
      <vt:lpstr>Pivot Kursmedv %</vt:lpstr>
      <vt:lpstr>underlag medverkande 2</vt:lpstr>
      <vt:lpstr>'Ansvar kurs'!Utskriftsområde</vt:lpstr>
      <vt:lpstr>'Bokforder jan+feb'!Utskriftsområde</vt:lpstr>
      <vt:lpstr>'Bokforder mars--'!Utskriftsområde</vt:lpstr>
      <vt:lpstr>'Bokforder sept--'!Utskriftsområde</vt:lpstr>
      <vt:lpstr>'kurser alla'!Utskriftsområde</vt:lpstr>
      <vt:lpstr>kurspris!Utskriftsområde</vt:lpstr>
      <vt:lpstr>Start!Utskriftsområde</vt:lpstr>
      <vt:lpstr>'Totalt per inst'!Utskriftsområde</vt:lpstr>
      <vt:lpstr>'underlag medverkande 2'!Utskriftsområde</vt:lpstr>
      <vt:lpstr>'Ansvar kurs'!Utskriftsrubriker</vt:lpstr>
      <vt:lpstr>'Bokforder jan+feb'!Utskriftsrubriker</vt:lpstr>
      <vt:lpstr>'Bokforder mars--'!Utskriftsrubriker</vt:lpstr>
      <vt:lpstr>'Bokforder sept--'!Utskriftsrubriker</vt:lpstr>
      <vt:lpstr>'Kursansv till medv'!Utskriftsrubriker</vt:lpstr>
      <vt:lpstr>kurspris!Utskriftsrubriker</vt:lpstr>
      <vt:lpstr>Medv!Utskriftsrubriker</vt:lpstr>
      <vt:lpstr>'Totalt pivot'!Utskriftsrubriker</vt:lpstr>
    </vt:vector>
  </TitlesOfParts>
  <Company>USE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 Sehlberg</dc:creator>
  <cp:lastModifiedBy>Eva Alenius</cp:lastModifiedBy>
  <cp:lastPrinted>2020-09-28T12:03:30Z</cp:lastPrinted>
  <dcterms:created xsi:type="dcterms:W3CDTF">2005-02-02T07:57:19Z</dcterms:created>
  <dcterms:modified xsi:type="dcterms:W3CDTF">2020-09-28T12:06:43Z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0x010100877DF8B229149043AC056CBFE8B11EF9</vt:lpwstr>
  </property>
</Properties>
</file>